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6M1I/DiVl4+5dx7MmZ4ptMqxAhd/AI/yX1OMxzXbUYXli/MPq6pmDSakX4huCJzCpdXOedqU9NCOVR1G8wNqHQ==" workbookSaltValue="C7f76Adxw6435E9E23fO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AO12" i="17" s="1"/>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E9" i="8" s="1"/>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B16" i="6"/>
  <c r="N10" i="11"/>
  <c r="N9" i="11"/>
  <c r="T10" i="21"/>
  <c r="V10" i="21" s="1"/>
  <c r="F10" i="10"/>
  <c r="D11" i="2"/>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F17" i="17"/>
  <c r="AQ17" i="17" s="1"/>
  <c r="M13" i="2"/>
  <c r="AL11" i="11"/>
  <c r="AO12" i="11"/>
  <c r="E11" i="6"/>
  <c r="H13" i="12"/>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Z18" i="13"/>
  <c r="AY13" i="8"/>
  <c r="BD12" i="8"/>
  <c r="BG15" i="8"/>
  <c r="X12" i="17"/>
  <c r="AV18" i="17"/>
  <c r="J18" i="17"/>
  <c r="L15" i="2"/>
  <c r="L12"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H20" i="20"/>
  <c r="N20" i="20"/>
  <c r="R20" i="20"/>
  <c r="AV20" i="20"/>
  <c r="AO20" i="20"/>
  <c r="X20" i="20"/>
  <c r="O16" i="11"/>
  <c r="T20" i="20"/>
  <c r="I20" i="20"/>
  <c r="AD20" i="20"/>
  <c r="M20" i="20"/>
  <c r="W20" i="21"/>
  <c r="W20" i="20"/>
  <c r="AI20" i="20"/>
  <c r="AG20" i="20"/>
  <c r="AU20" i="20"/>
  <c r="Y20" i="20"/>
  <c r="O20" i="20"/>
  <c r="AH20" i="20"/>
  <c r="Q20" i="20"/>
  <c r="U12" i="11"/>
  <c r="T20" i="21"/>
  <c r="AX20" i="20"/>
  <c r="Z20" i="20"/>
  <c r="AO17" i="11" l="1"/>
  <c r="B17" i="6"/>
  <c r="C17" i="6"/>
  <c r="AY18" i="8"/>
  <c r="E15" i="6"/>
  <c r="T19" i="8"/>
  <c r="AW18" i="21"/>
  <c r="AC10" i="11"/>
  <c r="BA13" i="8"/>
  <c r="F9" i="2"/>
  <c r="L12" i="14"/>
  <c r="AL10" i="11"/>
  <c r="H15" i="2"/>
  <c r="N13" i="2"/>
  <c r="E9" i="6"/>
  <c r="H12" i="7"/>
  <c r="B12" i="6"/>
  <c r="AO9" i="11"/>
  <c r="AO16" i="11"/>
  <c r="C11" i="6"/>
  <c r="B9" i="6"/>
  <c r="H12" i="2"/>
  <c r="M18" i="2"/>
  <c r="N18" i="2"/>
  <c r="BF11" i="8"/>
  <c r="BF9" i="8"/>
  <c r="BD15" i="8"/>
  <c r="H15" i="7" s="1"/>
  <c r="C10" i="6"/>
  <c r="I10" i="12" s="1"/>
  <c r="BE15" i="8"/>
  <c r="I15" i="7" s="1"/>
  <c r="BG16" i="8"/>
  <c r="E18" i="2"/>
  <c r="AL15" i="11"/>
  <c r="L16" i="14"/>
  <c r="F15" i="11"/>
  <c r="F16" i="17"/>
  <c r="BB13" i="13"/>
  <c r="D11" i="12"/>
  <c r="D12" i="12"/>
  <c r="BG9" i="8"/>
  <c r="K9" i="7" s="1"/>
  <c r="BD11" i="8"/>
  <c r="BE11" i="8"/>
  <c r="I11" i="7" s="1"/>
  <c r="BG12" i="8"/>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BP20" i="16"/>
  <c r="AU20" i="17"/>
  <c r="F18" i="11" l="1"/>
  <c r="I17" i="12"/>
  <c r="AI19" i="11"/>
  <c r="AL18" i="11"/>
  <c r="I15" i="12"/>
  <c r="B19" i="7"/>
  <c r="D19" i="12"/>
  <c r="F19" i="7"/>
  <c r="K9" i="12"/>
  <c r="C18" i="6"/>
  <c r="N19" i="2"/>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O20" i="21"/>
  <c r="V20" i="21"/>
  <c r="M20" i="17"/>
  <c r="AB20" i="21"/>
  <c r="J20" i="11"/>
  <c r="AL20" i="16"/>
  <c r="P20" i="11"/>
  <c r="AI20" i="21"/>
  <c r="S20" i="21"/>
  <c r="E20" i="11"/>
  <c r="AR20" i="11"/>
  <c r="Y20" i="16"/>
  <c r="V20" i="16"/>
  <c r="K20" i="12"/>
  <c r="U20" i="16"/>
  <c r="M20" i="11"/>
  <c r="AI20" i="11"/>
  <c r="AD20" i="16"/>
  <c r="AG20" i="21"/>
  <c r="F20" i="12"/>
  <c r="R20" i="11"/>
  <c r="H20" i="21"/>
  <c r="Y20" i="11"/>
  <c r="K20" i="16"/>
  <c r="AG20" i="17"/>
  <c r="P20" i="17"/>
  <c r="U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AD20" i="11"/>
  <c r="AX20" i="16"/>
  <c r="AA20" i="16"/>
  <c r="AN20" i="11"/>
  <c r="AM20" i="16"/>
  <c r="BC20" i="21"/>
  <c r="AG20" i="16"/>
  <c r="E20" i="17"/>
  <c r="Z20" i="17"/>
  <c r="AE20" i="17"/>
  <c r="AR20" i="20"/>
  <c r="Q20" i="16"/>
  <c r="Q20" i="11"/>
  <c r="V20" i="17"/>
  <c r="BC20" i="16"/>
  <c r="AE20" i="11"/>
  <c r="AB20" i="11"/>
  <c r="AH20" i="21"/>
  <c r="X20" i="21"/>
  <c r="BM20" i="16"/>
  <c r="I20" i="12"/>
  <c r="O12" i="11"/>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<sst xmlns="http://schemas.openxmlformats.org/spreadsheetml/2006/main" count="2102" uniqueCount="917">
  <si>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</si>
  <si>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</si>
  <si>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</si>
  <si>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</si>
  <si>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</si>
  <si>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</si>
  <si>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</si>
  <si>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</si>
  <si>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</si>
  <si>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</si>
  <si>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</si>
  <si>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</si>
  <si>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</si>
  <si>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</si>
  <si>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</si>
  <si>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</si>
  <si>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</si>
  <si>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</si>
  <si>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</si>
  <si>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</si>
  <si>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</si>
  <si>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</si>
  <si>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</si>
  <si>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</si>
  <si>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</si>
  <si>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</si>
  <si>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</si>
  <si>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</si>
  <si>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</si>
  <si>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</si>
  <si>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</si>
  <si>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</si>
  <si>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</si>
  <si>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</si>
  <si>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</si>
  <si>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</si>
  <si>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</si>
  <si>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</si>
  <si>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</si>
  <si>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</si>
  <si>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</si>
  <si>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</si>
  <si>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</si>
  <si>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</si>
  <si>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</si>
  <si>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</si>
  <si>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</si>
  <si>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</si>
  <si>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</si>
  <si>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</si>
  <si>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</si>
  <si>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</si>
  <si>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</si>
  <si>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</si>
  <si>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</si>
  <si>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</si>
  <si>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</si>
  <si>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</si>
  <si>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</si>
  <si>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</si>
  <si>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</si>
  <si>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</si>
  <si>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</si>
  <si>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</si>
  <si>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</si>
  <si>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</si>
  <si>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</si>
  <si>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</si>
  <si>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</si>
  <si>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</si>
  <si>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</si>
  <si>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</si>
  <si>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</si>
  <si>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</si>
  <si>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</si>
  <si>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</si>
  <si>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</si>
  <si>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</si>
  <si>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</si>
  <si>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</si>
  <si>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</si>
  <si>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</si>
  <si>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</si>
  <si>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</si>
  <si>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</si>
  <si>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</si>
  <si>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</si>
  <si>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</si>
  <si>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</si>
  <si>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</si>
  <si>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</si>
  <si>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</si>
  <si>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</si>
  <si>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</si>
  <si>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</si>
  <si>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</si>
  <si>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</si>
  <si>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</si>
  <si>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</si>
  <si>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</si>
  <si>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</si>
  <si>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</si>
  <si>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</si>
  <si>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</si>
  <si>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</si>
  <si>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</si>
  <si>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</si>
  <si>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</si>
  <si>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</si>
  <si>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</si>
  <si>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</si>
  <si>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</si>
  <si>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</si>
  <si>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</si>
  <si>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</si>
  <si>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</si>
  <si>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</si>
  <si>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</si>
  <si>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</si>
  <si>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</si>
  <si>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</si>
  <si>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</si>
  <si>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</si>
  <si>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</si>
  <si>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</si>
  <si>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</si>
  <si>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</si>
  <si>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</si>
  <si>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</si>
  <si>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</si>
  <si>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</si>
  <si>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</si>
  <si>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</si>
  <si>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</si>
  <si>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</si>
  <si>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</si>
  <si>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</si>
  <si>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</si>
  <si>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</si>
  <si>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</si>
  <si>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</si>
  <si>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</si>
  <si>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</si>
  <si>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</si>
  <si>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</si>
  <si>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</si>
  <si>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</si>
  <si>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</si>
  <si>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</si>
  <si>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</si>
  <si>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</si>
  <si>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</si>
  <si>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</si>
  <si>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</si>
  <si>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</si>
  <si>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</si>
  <si>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</si>
  <si>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</si>
  <si>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</si>
  <si>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</si>
  <si>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</si>
  <si>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</si>
  <si>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</si>
  <si>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</si>
  <si>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</si>
  <si>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</si>
  <si>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</si>
  <si>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</si>
  <si>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</si>
  <si>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</si>
  <si>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</si>
  <si>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</si>
  <si>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</si>
  <si>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</si>
  <si>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</si>
  <si>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</si>
  <si>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</si>
  <si>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</si>
  <si>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</si>
  <si>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</si>
  <si>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</si>
  <si>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</si>
  <si>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</si>
  <si>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</si>
  <si>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</si>
  <si>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</si>
  <si>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</si>
  <si>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</si>
  <si>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</si>
  <si>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</si>
  <si>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</si>
  <si>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</si>
  <si>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</si>
  <si>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</si>
  <si>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</si>
  <si>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</si>
  <si>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</si>
  <si>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</si>
  <si>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</si>
  <si>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</si>
  <si>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</si>
  <si>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</si>
  <si>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</si>
  <si>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</si>
  <si>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</si>
  <si>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</si>
  <si>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</si>
  <si>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</si>
  <si>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</si>
  <si>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</si>
  <si>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</si>
  <si>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</si>
  <si>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</si>
  <si>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</si>
  <si>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</si>
  <si>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</si>
  <si>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</si>
  <si>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</si>
  <si>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</si>
  <si>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</si>
  <si>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</si>
  <si>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</si>
  <si>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</si>
  <si>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</si>
  <si>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</si>
  <si>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</si>
  <si>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</si>
  <si>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</si>
  <si>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</si>
  <si>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</si>
  <si>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</si>
  <si>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</si>
  <si>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</si>
  <si>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</si>
  <si>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</si>
  <si>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</si>
  <si>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</si>
  <si>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</si>
  <si>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</si>
  <si>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</si>
  <si>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</si>
  <si>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</si>
  <si>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</si>
  <si>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</si>
  <si>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</si>
  <si>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</si>
  <si>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</si>
  <si>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</si>
  <si>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</si>
  <si>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</si>
  <si>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</si>
  <si>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</si>
  <si>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</si>
  <si>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</si>
  <si>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</si>
  <si>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</si>
  <si>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</si>
  <si>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</si>
  <si>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</si>
  <si>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</si>
  <si>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</si>
  <si>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</si>
  <si>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</si>
  <si>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</si>
  <si>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</si>
  <si>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</si>
  <si>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</si>
  <si>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</si>
  <si>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</si>
  <si>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</si>
  <si>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</si>
  <si>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</si>
  <si>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</si>
  <si>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</si>
  <si>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</si>
  <si>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</si>
  <si>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</si>
  <si>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</si>
  <si>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</si>
  <si>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</si>
  <si>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</si>
  <si>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</si>
  <si>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</si>
  <si>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</si>
  <si>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</si>
  <si>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</si>
  <si>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</si>
  <si>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</si>
  <si>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</si>
  <si>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</si>
  <si>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</si>
  <si>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</si>
  <si>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</si>
  <si>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</si>
  <si>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</si>
  <si>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</si>
  <si>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</si>
  <si>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</si>
  <si>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</si>
  <si>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</si>
  <si>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</si>
  <si>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</si>
  <si>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</si>
  <si>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</si>
  <si>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</si>
  <si>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</si>
  <si>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</si>
  <si>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</si>
  <si>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</si>
  <si>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</si>
  <si>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</si>
  <si>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</si>
  <si>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</si>
  <si>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</si>
  <si>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</si>
  <si>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</si>
  <si>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</si>
  <si>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</si>
  <si>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</si>
  <si>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</si>
  <si>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</si>
  <si>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</si>
  <si>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</si>
  <si>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</si>
  <si>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</si>
  <si>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</si>
  <si>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</si>
  <si>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</si>
  <si>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</si>
  <si>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</si>
  <si>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</si>
  <si>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</si>
  <si>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</si>
  <si>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</si>
  <si>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</si>
  <si>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</si>
  <si>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</si>
  <si>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</si>
  <si>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</si>
  <si>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</si>
  <si>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</si>
  <si>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</si>
  <si>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</si>
  <si>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</si>
  <si>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</si>
  <si>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</si>
  <si>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</si>
  <si>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</si>
  <si>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</si>
  <si>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</si>
  <si>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</si>
  <si>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</si>
  <si>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</si>
  <si>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</si>
  <si>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</si>
  <si>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</si>
  <si>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</si>
  <si>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</si>
  <si>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</si>
  <si>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</si>
  <si>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</si>
  <si>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</si>
  <si>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</si>
  <si>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</si>
  <si>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</si>
  <si>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</si>
  <si>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</si>
  <si>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</si>
  <si>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</si>
  <si>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</si>
  <si>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</si>
  <si>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</si>
  <si>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</si>
  <si>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</si>
  <si>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</si>
  <si>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</si>
  <si>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</si>
  <si>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</si>
  <si>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</si>
  <si>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</si>
  <si>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</si>
  <si>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</si>
  <si>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</si>
  <si>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</si>
  <si>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</si>
  <si>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</si>
  <si>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</si>
  <si>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</si>
  <si>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</si>
  <si>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</si>
  <si>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</si>
  <si>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</si>
  <si>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</si>
  <si>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</si>
  <si>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</si>
  <si>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</si>
  <si>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</si>
  <si>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</si>
  <si>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</si>
  <si>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</si>
  <si>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</si>
  <si>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</si>
  <si>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</si>
  <si>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</si>
  <si>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</si>
  <si>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</si>
  <si>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</si>
  <si>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</si>
  <si>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</si>
  <si>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</si>
  <si>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</si>
  <si>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</si>
  <si>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</si>
  <si>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</si>
  <si>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</si>
  <si>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</si>
  <si>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</si>
  <si>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</si>
  <si>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</si>
  <si>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</si>
  <si>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</si>
  <si>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</si>
  <si>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</si>
  <si>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</si>
  <si>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</si>
  <si>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</si>
  <si>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</si>
  <si>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</si>
  <si>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</si>
  <si>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</si>
  <si>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</si>
  <si>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</si>
  <si>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</si>
  <si>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</si>
  <si>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</si>
  <si>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</si>
  <si>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</si>
  <si>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</si>
  <si>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</si>
  <si>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</si>
  <si>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</si>
  <si>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</si>
  <si>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</si>
  <si>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</si>
  <si>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</si>
  <si>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</si>
  <si>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</si>
  <si>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</si>
  <si>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</si>
  <si>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</si>
  <si>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</si>
  <si>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</si>
  <si>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</si>
  <si>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</si>
  <si>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</si>
  <si>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</si>
  <si>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</si>
  <si>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</si>
  <si>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</si>
  <si>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</si>
  <si>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</si>
  <si>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</si>
  <si>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</si>
  <si>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</si>
  <si>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</si>
  <si>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</si>
  <si>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</si>
  <si>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</si>
  <si>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</si>
  <si>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</si>
  <si>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</si>
  <si>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</si>
  <si>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</si>
  <si>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</si>
  <si>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</si>
  <si>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</si>
  <si>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</si>
  <si>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</si>
  <si>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</si>
  <si>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</si>
  <si>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</si>
  <si>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</si>
  <si>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</si>
  <si>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</si>
  <si>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</si>
  <si>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</si>
  <si>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</si>
  <si>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</si>
  <si>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</si>
  <si>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</si>
  <si>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</si>
  <si>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</si>
  <si>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</si>
  <si>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</si>
  <si>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</si>
  <si>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</si>
  <si>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</si>
  <si>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</si>
  <si>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</si>
  <si>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</si>
  <si>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</si>
  <si>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</si>
  <si>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</si>
  <si>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</si>
  <si>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</si>
  <si>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</si>
  <si>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</si>
  <si>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</si>
  <si>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</si>
  <si>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</si>
  <si>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</si>
  <si>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</si>
  <si>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</si>
  <si>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</si>
  <si>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</si>
  <si>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</si>
  <si>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</si>
  <si>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</si>
  <si>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</si>
  <si>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</si>
  <si>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</si>
  <si>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</si>
  <si>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</si>
  <si>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</si>
  <si>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</si>
  <si>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</si>
  <si>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</si>
  <si>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</si>
  <si>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</si>
  <si>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</si>
  <si>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</si>
  <si>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</si>
  <si>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</si>
  <si>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</si>
  <si>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</si>
  <si>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</si>
  <si>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</si>
  <si>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</si>
  <si>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</si>
  <si>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</si>
  <si>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</si>
  <si>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</si>
  <si>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</si>
  <si>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</si>
  <si>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</si>
  <si>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</si>
  <si>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</si>
  <si>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</si>
  <si>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</si>
  <si>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</si>
  <si>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</si>
  <si>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</si>
  <si>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</si>
  <si>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</si>
  <si>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</si>
  <si>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</si>
  <si>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</si>
  <si>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</si>
  <si>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</si>
  <si>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</si>
  <si>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</si>
  <si>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</si>
  <si>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</si>
  <si>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</si>
  <si>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</si>
  <si>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</si>
  <si>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</si>
  <si>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</si>
  <si>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</si>
  <si>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</si>
  <si>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</si>
  <si>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</si>
  <si>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</si>
  <si>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</si>
  <si>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</si>
  <si>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</si>
  <si>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</si>
  <si>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</si>
  <si>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</si>
  <si>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</si>
  <si>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</si>
  <si>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</si>
  <si>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</si>
  <si>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</si>
  <si>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</si>
  <si>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</si>
  <si>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</si>
  <si>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</si>
  <si>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</si>
  <si>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</si>
  <si>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</si>
  <si>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</si>
  <si>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</si>
  <si>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</si>
  <si>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</si>
  <si>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</si>
  <si>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</si>
  <si>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</si>
  <si>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</si>
  <si>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</si>
  <si>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</si>
  <si>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</si>
  <si>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</si>
  <si>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</si>
  <si>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</si>
  <si>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</si>
  <si>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</si>
  <si>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</si>
  <si>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</si>
  <si>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</si>
  <si>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</si>
  <si>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</si>
  <si>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</si>
  <si>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</si>
  <si>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</si>
  <si>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</si>
  <si>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</si>
  <si>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</si>
  <si>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</si>
  <si>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</si>
  <si>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</si>
  <si>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</si>
  <si>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</si>
  <si>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</si>
  <si>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</si>
  <si>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</si>
  <si>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</si>
  <si>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</si>
  <si>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</si>
  <si>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</si>
  <si>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</si>
  <si>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</si>
  <si>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</si>
  <si>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</si>
  <si>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</si>
  <si>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</si>
  <si>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</si>
  <si>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</si>
  <si>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</si>
  <si>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</si>
  <si>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</si>
  <si>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</si>
  <si>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</si>
  <si>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</si>
  <si>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</si>
  <si>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</si>
  <si>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</si>
  <si>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</si>
  <si>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</si>
  <si>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</si>
  <si>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</si>
  <si>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</si>
  <si>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</si>
  <si>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</si>
  <si>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</si>
  <si>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</si>
  <si>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</si>
  <si>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</si>
  <si>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</si>
  <si>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</si>
  <si>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</si>
  <si>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</si>
  <si>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</si>
  <si>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</si>
  <si>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</si>
  <si>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</si>
  <si>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</si>
  <si>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</si>
  <si>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</si>
  <si>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</si>
  <si>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</si>
  <si>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</si>
  <si>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</si>
  <si>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</si>
  <si>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</si>
  <si>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</si>
  <si>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</si>
  <si>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</si>
  <si>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</si>
  <si>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</si>
  <si>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</si>
  <si>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</si>
  <si>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</si>
  <si>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</si>
  <si>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</si>
  <si>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</si>
  <si>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</si>
  <si>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</si>
  <si>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</si>
  <si>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</si>
  <si>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</si>
  <si>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</si>
  <si>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</si>
  <si>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</si>
  <si>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</si>
  <si>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</si>
  <si>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</si>
  <si>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</si>
  <si>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</si>
  <si>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</si>
  <si>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</si>
  <si>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</si>
  <si>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</si>
  <si>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</si>
  <si>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</si>
  <si>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</si>
  <si>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</si>
  <si>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</si>
  <si>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</si>
  <si>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</si>
  <si>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</si>
  <si>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</si>
  <si>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</si>
  <si>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</si>
  <si>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</si>
  <si>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</si>
  <si>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</si>
  <si>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</si>
  <si>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</si>
  <si>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</si>
  <si>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</si>
  <si>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</si>
  <si>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</si>
  <si>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</si>
  <si>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</si>
  <si>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</si>
  <si>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</si>
  <si>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</si>
  <si>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</si>
  <si>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</si>
  <si>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</si>
  <si>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</si>
  <si>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</si>
  <si>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</si>
  <si>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</si>
  <si>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</si>
  <si>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</si>
  <si>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</si>
  <si>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</si>
  <si>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</si>
  <si>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</si>
  <si>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</si>
  <si>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</si>
  <si>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</si>
  <si>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</si>
  <si>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</si>
  <si>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</si>
  <si>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</si>
  <si>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</si>
  <si>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</si>
  <si>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</si>
  <si>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</si>
  <si>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</si>
  <si>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</si>
  <si>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</si>
  <si>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</si>
  <si>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</si>
  <si>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</si>
  <si>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</si>
  <si>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</si>
  <si>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</si>
  <si>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</si>
  <si>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</si>
  <si>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</si>
  <si>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</si>
  <si>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</si>
  <si>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</si>
  <si>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</si>
  <si>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</si>
  <si>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</si>
  <si>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</si>
  <si>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</si>
  <si>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</si>
  <si>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</si>
  <si>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</si>
  <si>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</si>
  <si>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</si>
  <si>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</si>
  <si>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</si>
  <si>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</si>
  <si>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</si>
  <si>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</si>
  <si>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</si>
  <si>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</si>
  <si>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</si>
  <si>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</si>
  <si>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</si>
  <si>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</si>
  <si>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</si>
  <si>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</si>
  <si>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</si>
  <si>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</si>
  <si>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</si>
  <si>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</si>
  <si>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</si>
  <si>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</si>
  <si>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</si>
  <si>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</si>
  <si>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</si>
  <si>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</si>
  <si>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</si>
  <si>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</si>
  <si>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</si>
  <si>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</si>
  <si>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</si>
  <si>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</si>
  <si>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</si>
  <si>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</si>
  <si>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</si>
  <si>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</si>
  <si>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</si>
  <si>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</si>
  <si>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</si>
  <si>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</si>
  <si>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</si>
  <si>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</si>
  <si>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</si>
  <si>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</si>
  <si>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</si>
  <si>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</si>
  <si>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</si>
  <si>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</si>
  <si>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</si>
  <si>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</si>
  <si>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</si>
  <si>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</si>
  <si>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</si>
  <si>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</si>
  <si>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</si>
  <si>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</si>
  <si>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</si>
  <si>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</si>
  <si>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</si>
  <si>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</si>
  <si>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</si>
  <si>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</si>
  <si>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</si>
  <si>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</si>
  <si>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</si>
  <si>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</si>
  <si>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</si>
  <si>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</si>
  <si>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</si>
  <si>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</si>
  <si>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</si>
  <si>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</si>
  <si>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</si>
  <si>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</si>
  <si>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</si>
  <si>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</si>
  <si>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</si>
  <si>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</si>
  <si>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</si>
  <si>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</si>
  <si>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</si>
  <si>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</si>
  <si>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</si>
  <si>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</si>
  <si>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</si>
  <si>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</si>
  <si>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</si>
  <si>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</si>
  <si>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</si>
  <si>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</si>
  <si>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</si>
  <si>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</si>
  <si>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</si>
  <si>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</si>
  <si>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</si>
  <si>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</si>
  <si>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</si>
  <si>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</si>
  <si>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</si>
  <si>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</si>
  <si>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</si>
  <si>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</si>
  <si>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</si>
  <si>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</si>
  <si>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</si>
  <si>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</si>
  <si>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</si>
  <si>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</si>
  <si>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</si>
  <si>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</si>
  <si>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</si>
  <si>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</si>
  <si>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</si>
  <si>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</si>
  <si>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</si>
  <si>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</si>
  <si>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</si>
  <si>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</si>
  <si>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</si>
  <si>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</si>
  <si>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</si>
  <si>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</si>
  <si>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</si>
  <si>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</si>
  <si>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</si>
  <si>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</si>
  <si>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</si>
  <si>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</si>
  <si>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</si>
  <si>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</si>
  <si>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</si>
  <si>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</si>
  <si>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</si>
  <si>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</si>
  <si>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</si>
  <si>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</si>
  <si>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</si>
  <si>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</si>
  <si>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</si>
  <si>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</si>
  <si>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</si>
  <si>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CADIZ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</si>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</sst>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fSOggLAgRO668YoUbaUfWlDjOQlrPtF0Cg39M2hj5lsXaxm8IR00U4e8pLD8vzsScAMFs67IllwMa3qKxoGig==" saltValue="RSgasPMp4Zm6LKJd2eJQ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5.4525776899586855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80</v>
      </c>
      <c r="D10" s="224">
        <f>IF(ISNUMBER(Datos!I10),Datos!I10," - ")</f>
        <v>88</v>
      </c>
      <c r="E10" s="225">
        <f>IF(ISNUMBER(Datos!J10),Datos!J10," - ")</f>
        <v>132</v>
      </c>
      <c r="F10" s="225">
        <f>IF(ISNUMBER(Datos!K10),Datos!K10," - ")</f>
        <v>112</v>
      </c>
      <c r="G10" s="1033" t="str">
        <f>IF(Datos!E10&lt;&gt;"",Datos!E10,Datos!D10)</f>
        <v>37</v>
      </c>
      <c r="H10" s="226">
        <f>IF(ISNUMBER(Datos!L10),Datos!L10," - ")</f>
        <v>100</v>
      </c>
      <c r="I10" s="1043" t="str">
        <f>IF(ISNUMBER(Datos!AS10/Datos!BM10),Datos!AS10/Datos!BM10," - ")</f>
        <v xml:space="preserve"> - </v>
      </c>
      <c r="J10" s="1044">
        <f>IF(ISNUMBER(Datos!BY10/Datos!CN10),Datos!BY10/Datos!CN10," - ")</f>
        <v>0</v>
      </c>
      <c r="K10" s="229">
        <f t="shared" ref="K10:K12" si="1">IF(ISNUMBER((E10-F10)/C10),(E10-F10)/C10," - ")</f>
        <v>0.25</v>
      </c>
      <c r="L10" s="1024">
        <f>IF(ISNUMBER(NºAsuntos!I10/NºAsuntos!G10),(NºAsuntos!I10/NºAsuntos!G10)*11," - ")</f>
        <v>9.8214285714285712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80</v>
      </c>
      <c r="D13" s="1048">
        <f>SUBTOTAL(9,D9:D12)</f>
        <v>88</v>
      </c>
      <c r="E13" s="1049">
        <f>SUBTOTAL(9,E9:E12)</f>
        <v>132</v>
      </c>
      <c r="F13" s="1050">
        <f>SUBTOTAL(9,F9:F12)</f>
        <v>112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1108</v>
      </c>
      <c r="D15" s="224">
        <f>IF(ISNUMBER(IF(D_I="SI",Datos!I15,Datos!I15+Datos!AC15)),IF(D_I="SI",Datos!I15,Datos!I15+Datos!AC15)," - ")</f>
        <v>1089</v>
      </c>
      <c r="E15" s="225">
        <f>IF(ISNUMBER(IF(D_I="SI",Datos!J15,Datos!J15+Datos!AD15)),IF(D_I="SI",Datos!J15,Datos!J15+Datos!AD15)," - ")</f>
        <v>6340</v>
      </c>
      <c r="F15" s="225">
        <f>IF(ISNUMBER(IF(D_I="SI",Datos!K15,Datos!K15+Datos!AE15)),IF(D_I="SI",Datos!K15,Datos!K15+Datos!AE15)," - ")</f>
        <v>6307</v>
      </c>
      <c r="G15" s="1033" t="str">
        <f>IF(Datos!E15&lt;&gt;"",Datos!E15,Datos!D15)</f>
        <v>03</v>
      </c>
      <c r="H15" s="226">
        <f>IF(ISNUMBER(IF(D_I="SI",Datos!L15,Datos!L15+Datos!AF15)),IF(D_I="SI",Datos!L15,Datos!L15+Datos!AF15)," - ")</f>
        <v>1141</v>
      </c>
      <c r="I15" s="1043" t="str">
        <f>IF(ISNUMBER(Datos!AS15/Datos!BM15),Datos!AS15/Datos!BM15," - ")</f>
        <v xml:space="preserve"> - </v>
      </c>
      <c r="J15" s="1044">
        <f>IF(ISNUMBER(Datos!BY15/Datos!CN15),Datos!BY15/Datos!CN15," - ")</f>
        <v>0</v>
      </c>
      <c r="K15" s="229">
        <f t="shared" ref="K15:K17" si="3">IF(ISNUMBER((E15-F15)/C15),(E15-F15)/C15," - ")</f>
        <v>2.9783393501805054E-2</v>
      </c>
      <c r="L15" s="1024">
        <f>IF(ISNUMBER(NºAsuntos!I15/NºAsuntos!G15),(NºAsuntos!I15/NºAsuntos!G15)*11," - ")</f>
        <v>1.9900110987791344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231</v>
      </c>
      <c r="D17" s="224">
        <f>IF(ISNUMBER(IF(D_I="SI",Datos!I17,Datos!I17+Datos!AC17)),IF(D_I="SI",Datos!I17,Datos!I17+Datos!AC17)," - ")</f>
        <v>228</v>
      </c>
      <c r="E17" s="225">
        <f>IF(ISNUMBER(IF(D_I="SI",Datos!J17,Datos!J17+Datos!AD17)),IF(D_I="SI",Datos!J17,Datos!J17+Datos!AD17)," - ")</f>
        <v>2738</v>
      </c>
      <c r="F17" s="225">
        <f>IF(ISNUMBER(IF(D_I="SI",Datos!K17,Datos!K17+Datos!AE17)),IF(D_I="SI",Datos!K17,Datos!K17+Datos!AE17)," - ")</f>
        <v>2671</v>
      </c>
      <c r="G17" s="1033" t="str">
        <f>IF(Datos!E17&lt;&gt;"",Datos!E17,Datos!D17)</f>
        <v>37</v>
      </c>
      <c r="H17" s="226">
        <f>IF(ISNUMBER(IF(D_I="SI",Datos!L17,Datos!L17+Datos!AF17)),IF(D_I="SI",Datos!L17,Datos!L17+Datos!AF17)," - ")</f>
        <v>298</v>
      </c>
      <c r="I17" s="1043" t="str">
        <f>IF(ISNUMBER(Datos!AS17/Datos!BM17),Datos!AS17/Datos!BM17," - ")</f>
        <v xml:space="preserve"> - </v>
      </c>
      <c r="J17" s="1044" t="str">
        <f>IF(ISNUMBER((Datos!BY17+Datos!BZ17)/Datos!CN17),(Datos!BY17+Datos!BZ17)/Datos!CN17," - ")</f>
        <v xml:space="preserve"> - </v>
      </c>
      <c r="K17" s="229">
        <f t="shared" si="3"/>
        <v>0.29004329004329005</v>
      </c>
      <c r="L17" s="1024">
        <f>IF(ISNUMBER(NºAsuntos!I17/NºAsuntos!G17),(NºAsuntos!I17/NºAsuntos!G17)*11," - ")</f>
        <v>1.2272557094721077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1339</v>
      </c>
      <c r="D18" s="1048">
        <f>SUBTOTAL(9,D15:D17)</f>
        <v>1317</v>
      </c>
      <c r="E18" s="1049">
        <f>SUBTOTAL(9,E15:E17)</f>
        <v>9078</v>
      </c>
      <c r="F18" s="1049">
        <f>SUBTOTAL(9,F15:F17)</f>
        <v>8978</v>
      </c>
      <c r="G18" s="1051" t="str">
        <f ca="1">INDIRECT(CONCATENATE("G",ROW()-1))</f>
        <v>37</v>
      </c>
      <c r="H18" s="1052">
        <f ca="1">SUMIF(G$14:G17,G18,H$14:H17)</f>
        <v>298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1419</v>
      </c>
      <c r="D19" s="1070">
        <f>SUBTOTAL(9,D9:D18)</f>
        <v>1405</v>
      </c>
      <c r="E19" s="1071">
        <f>SUBTOTAL(9,E9:E18)</f>
        <v>9210</v>
      </c>
      <c r="F19" s="1071">
        <f>SUBTOTAL(9,F9:F18)</f>
        <v>9090</v>
      </c>
      <c r="G19" s="1072"/>
      <c r="H19" s="1073">
        <f ca="1">SUMIF(B9:B18,"TOTAL",H9:H18)</f>
        <v>298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PessslOkijDLSJe5kjFjS//DhN+CSE60FmqlgzivzvEDGbZfIf/UZ9PThxz/doe7IvA+tsrbATJiInbRy0O5w==" saltValue="enEx1ORi7US2ZkptgTGk2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rA/6f8aGJvm4awdZxFh7Yj3y2Oyh/znNMYXi+Si9neYOzDys6Ic8ZyZeNUIatNnTJNM/ir1vFKQUxqP4v96Ag==" saltValue="+CD94TrxmLlS6CGXgaln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8021</v>
      </c>
      <c r="J9" s="180">
        <v>6751</v>
      </c>
      <c r="K9" s="180">
        <v>10579</v>
      </c>
      <c r="L9" s="180">
        <v>5236</v>
      </c>
      <c r="M9" s="180">
        <v>4673</v>
      </c>
      <c r="N9" s="180">
        <v>3451</v>
      </c>
      <c r="O9" s="180">
        <v>3333</v>
      </c>
      <c r="P9" s="180">
        <v>2791</v>
      </c>
      <c r="Q9" s="180">
        <v>2291</v>
      </c>
      <c r="R9" s="180">
        <v>9796</v>
      </c>
      <c r="S9" s="180">
        <v>12102</v>
      </c>
      <c r="T9" s="180">
        <v>7978</v>
      </c>
      <c r="U9" s="180">
        <v>11477</v>
      </c>
      <c r="V9" s="180">
        <v>8021</v>
      </c>
      <c r="W9" s="180">
        <v>4480</v>
      </c>
      <c r="X9" s="187">
        <v>4010</v>
      </c>
      <c r="Y9" s="190">
        <v>298</v>
      </c>
      <c r="Z9" s="180">
        <v>540</v>
      </c>
      <c r="AA9" s="180">
        <v>555</v>
      </c>
      <c r="AB9" s="180">
        <v>283</v>
      </c>
      <c r="AC9" s="180">
        <v>0</v>
      </c>
      <c r="AD9" s="180">
        <v>0</v>
      </c>
      <c r="AE9" s="180">
        <v>0</v>
      </c>
      <c r="AF9" s="187">
        <v>0</v>
      </c>
      <c r="AG9" s="190">
        <v>329</v>
      </c>
      <c r="AH9" s="180">
        <v>522</v>
      </c>
      <c r="AI9" s="180">
        <v>553</v>
      </c>
      <c r="AJ9" s="191">
        <v>298</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12431</v>
      </c>
      <c r="AZ9" s="123">
        <f>IF(ISNUMBER(IF(J_V="SI",T9,T9+AH9)),IF(J_V="SI",T9,T9+AH9)," - ")</f>
        <v>8500</v>
      </c>
      <c r="BA9" s="124">
        <f>IF(ISNUMBER(IF(J_V="SI",U9,U9+AI9)),IF(J_V="SI",U9,U9+AI9)," - ")</f>
        <v>12030</v>
      </c>
      <c r="BB9" s="124">
        <f>IF(ISNUMBER(IF(J_V="SI",V9,V9+AJ9)),IF(J_V="SI",V9,V9+AJ9)," - ")</f>
        <v>8319</v>
      </c>
      <c r="BC9" s="125">
        <f>IF(ISNUMBER(X9),X9," - ")</f>
        <v>4010</v>
      </c>
      <c r="BD9" s="126">
        <f>IF(ISNUMBER(BA9/AZ9),BA9/AZ9," - ")</f>
        <v>1.4152941176470588</v>
      </c>
      <c r="BE9" s="127">
        <f>IF(ISNUMBER(BB9/BA9),BB9/BA9, " - ")</f>
        <v>0.69152119700748127</v>
      </c>
      <c r="BF9" s="127">
        <f>IF(ISNUMBER(BC9/BA9),BC9/BA9, " - ")</f>
        <v>0.33333333333333331</v>
      </c>
      <c r="BG9" s="195">
        <f>IF(ISNUMBER((AY9+AZ9)/BA9),(AY9+AZ9)/BA9," - ")</f>
        <v>1.7399002493765585</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88</v>
      </c>
      <c r="J10" s="180">
        <v>132</v>
      </c>
      <c r="K10" s="180">
        <v>112</v>
      </c>
      <c r="L10" s="180">
        <v>100</v>
      </c>
      <c r="M10" s="180">
        <v>47</v>
      </c>
      <c r="N10" s="180">
        <v>46</v>
      </c>
      <c r="O10" s="180">
        <v>31</v>
      </c>
      <c r="P10" s="180">
        <v>25</v>
      </c>
      <c r="Q10" s="180">
        <v>12</v>
      </c>
      <c r="R10" s="180">
        <v>44</v>
      </c>
      <c r="S10" s="180">
        <v>62</v>
      </c>
      <c r="T10" s="180">
        <v>142</v>
      </c>
      <c r="U10" s="180">
        <v>118</v>
      </c>
      <c r="V10" s="180">
        <v>88</v>
      </c>
      <c r="W10" s="180">
        <v>37</v>
      </c>
      <c r="X10" s="187">
        <v>57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62</v>
      </c>
      <c r="AZ10" s="129">
        <f t="shared" si="0"/>
        <v>142</v>
      </c>
      <c r="BA10" s="129">
        <f t="shared" si="0"/>
        <v>118</v>
      </c>
      <c r="BB10" s="129">
        <f t="shared" si="0"/>
        <v>88</v>
      </c>
      <c r="BC10" s="125">
        <f t="shared" si="0"/>
        <v>37</v>
      </c>
      <c r="BD10" s="126">
        <f>IF(ISNUMBER(BA10/AZ10),BA10/AZ10," - ")</f>
        <v>0.83098591549295775</v>
      </c>
      <c r="BE10" s="127">
        <f>IF(ISNUMBER(BB10/BA10),BB10/BA10, " - ")</f>
        <v>0.74576271186440679</v>
      </c>
      <c r="BF10" s="127">
        <f>IF(ISNUMBER(BC10/BA10),BC10/BA10, " - ")</f>
        <v>0.3135593220338983</v>
      </c>
      <c r="BG10" s="195">
        <f>IF(ISNUMBER((AY10+AZ10)/BA10),(AY10+AZ10)/BA10," - ")</f>
        <v>1.728813559322034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8109</v>
      </c>
      <c r="J13" s="183">
        <f t="shared" si="6"/>
        <v>6883</v>
      </c>
      <c r="K13" s="183">
        <f t="shared" si="6"/>
        <v>10691</v>
      </c>
      <c r="L13" s="183">
        <f t="shared" si="6"/>
        <v>5336</v>
      </c>
      <c r="M13" s="183">
        <f t="shared" si="6"/>
        <v>4720</v>
      </c>
      <c r="N13" s="183">
        <f t="shared" si="6"/>
        <v>3497</v>
      </c>
      <c r="O13" s="183">
        <f t="shared" si="6"/>
        <v>3364</v>
      </c>
      <c r="P13" s="183">
        <f t="shared" si="6"/>
        <v>2816</v>
      </c>
      <c r="Q13" s="183">
        <f t="shared" si="6"/>
        <v>2303</v>
      </c>
      <c r="R13" s="183">
        <f t="shared" si="6"/>
        <v>9840</v>
      </c>
      <c r="S13" s="183">
        <f t="shared" si="6"/>
        <v>12164</v>
      </c>
      <c r="T13" s="183">
        <f t="shared" si="6"/>
        <v>8120</v>
      </c>
      <c r="U13" s="183">
        <f t="shared" si="6"/>
        <v>11595</v>
      </c>
      <c r="V13" s="183">
        <f t="shared" si="6"/>
        <v>8109</v>
      </c>
      <c r="W13" s="183">
        <f t="shared" si="6"/>
        <v>4517</v>
      </c>
      <c r="X13" s="183">
        <f t="shared" si="6"/>
        <v>4067</v>
      </c>
      <c r="Y13" s="183">
        <f t="shared" si="6"/>
        <v>298</v>
      </c>
      <c r="Z13" s="183">
        <f t="shared" si="6"/>
        <v>540</v>
      </c>
      <c r="AA13" s="183">
        <f t="shared" si="6"/>
        <v>555</v>
      </c>
      <c r="AB13" s="183">
        <f t="shared" si="6"/>
        <v>283</v>
      </c>
      <c r="AC13" s="183">
        <f t="shared" si="6"/>
        <v>0</v>
      </c>
      <c r="AD13" s="183">
        <f t="shared" si="6"/>
        <v>0</v>
      </c>
      <c r="AE13" s="183">
        <f t="shared" si="6"/>
        <v>0</v>
      </c>
      <c r="AF13" s="183">
        <f>SUBTOTAL(9,AF9:AF12)</f>
        <v>0</v>
      </c>
      <c r="AG13" s="183">
        <f t="shared" ref="AG13:AT13" si="7">SUBTOTAL(9,AG8:AG12)</f>
        <v>329</v>
      </c>
      <c r="AH13" s="183">
        <f t="shared" si="7"/>
        <v>522</v>
      </c>
      <c r="AI13" s="183">
        <f t="shared" si="7"/>
        <v>553</v>
      </c>
      <c r="AJ13" s="183">
        <f t="shared" si="7"/>
        <v>298</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12493</v>
      </c>
      <c r="AZ13" s="183">
        <f>SUBTOTAL(9,AZ8:AZ12)</f>
        <v>8642</v>
      </c>
      <c r="BA13" s="183">
        <f>SUBTOTAL(9,BA8:BA12)</f>
        <v>12148</v>
      </c>
      <c r="BB13" s="183">
        <f>SUBTOTAL(9,BB8:BB12)</f>
        <v>8407</v>
      </c>
      <c r="BC13" s="183">
        <f>SUBTOTAL(9,BC8:BC12)</f>
        <v>4047</v>
      </c>
      <c r="BD13" s="204">
        <f>IF(ISNUMBER(BA13/AZ13),BA13/AZ13," - ")</f>
        <v>1.4056931265910668</v>
      </c>
      <c r="BE13" s="205">
        <f>IF(ISNUMBER(BB13/BA13),BB13/BA13, " - ")</f>
        <v>0.69204807375699706</v>
      </c>
      <c r="BF13" s="205">
        <f>IF(ISNUMBER(BC13/BA13),BC13/BA13, " - ")</f>
        <v>0.33314125782021731</v>
      </c>
      <c r="BG13" s="206">
        <f>IF(ISNUMBER((AY13+AZ13)/BA13),(AY13+AZ13)/BA13," - ")</f>
        <v>1.7397925584458347</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1089</v>
      </c>
      <c r="J15" s="182">
        <v>6340</v>
      </c>
      <c r="K15" s="182">
        <v>6307</v>
      </c>
      <c r="L15" s="182">
        <v>1141</v>
      </c>
      <c r="M15" s="182">
        <v>936</v>
      </c>
      <c r="N15" s="182">
        <v>3437</v>
      </c>
      <c r="O15" s="180">
        <v>238</v>
      </c>
      <c r="P15" s="182">
        <v>391</v>
      </c>
      <c r="Q15" s="182">
        <v>438</v>
      </c>
      <c r="R15" s="182">
        <v>207</v>
      </c>
      <c r="S15" s="182">
        <v>1096</v>
      </c>
      <c r="T15" s="182">
        <v>6233</v>
      </c>
      <c r="U15" s="182">
        <v>6259</v>
      </c>
      <c r="V15" s="182">
        <v>1089</v>
      </c>
      <c r="W15" s="182">
        <v>1033</v>
      </c>
      <c r="X15" s="188">
        <v>3553</v>
      </c>
      <c r="Y15" s="201">
        <v>0</v>
      </c>
      <c r="Z15" s="182">
        <v>0</v>
      </c>
      <c r="AA15" s="182">
        <v>0</v>
      </c>
      <c r="AB15" s="182">
        <v>0</v>
      </c>
      <c r="AC15" s="182">
        <v>13</v>
      </c>
      <c r="AD15" s="182">
        <v>220</v>
      </c>
      <c r="AE15" s="182">
        <v>233</v>
      </c>
      <c r="AF15" s="188">
        <v>0</v>
      </c>
      <c r="AG15" s="201">
        <v>0</v>
      </c>
      <c r="AH15" s="182">
        <v>0</v>
      </c>
      <c r="AI15" s="182">
        <v>0</v>
      </c>
      <c r="AJ15" s="202">
        <v>0</v>
      </c>
      <c r="AK15" s="181">
        <v>0</v>
      </c>
      <c r="AL15" s="182">
        <v>244</v>
      </c>
      <c r="AM15" s="182">
        <v>231</v>
      </c>
      <c r="AN15" s="188">
        <v>13</v>
      </c>
      <c r="AO15" s="258">
        <v>4</v>
      </c>
      <c r="AP15" s="154">
        <v>4</v>
      </c>
      <c r="AQ15" s="154">
        <v>4</v>
      </c>
      <c r="AR15" s="154">
        <v>4</v>
      </c>
      <c r="AS15" s="339" t="s">
        <v>522</v>
      </c>
      <c r="AT15" s="202" t="s">
        <v>326</v>
      </c>
      <c r="AU15" s="201"/>
      <c r="AV15" s="202"/>
      <c r="AW15" s="201"/>
      <c r="AX15" s="202"/>
      <c r="AY15" s="128">
        <f t="shared" ref="AY15:BB16" si="9">IF(ISNUMBER(IF(D_I="SI",S15,S15+AK15)),IF(D_I="SI",S15,S15+AK15)," - ")</f>
        <v>1096</v>
      </c>
      <c r="AZ15" s="129">
        <f t="shared" si="9"/>
        <v>6233</v>
      </c>
      <c r="BA15" s="129">
        <f t="shared" si="9"/>
        <v>6259</v>
      </c>
      <c r="BB15" s="129">
        <f t="shared" si="9"/>
        <v>1089</v>
      </c>
      <c r="BC15" s="125">
        <f>IF(ISNUMBER(W15),W15," - ")</f>
        <v>1033</v>
      </c>
      <c r="BD15" s="126">
        <f>IF(ISNUMBER(BA15/AZ15),BA15/AZ15," - ")</f>
        <v>1.0041713460612867</v>
      </c>
      <c r="BE15" s="127">
        <f>IF(ISNUMBER(BB15/BA15),BB15/BA15, " - ")</f>
        <v>0.17398945518453426</v>
      </c>
      <c r="BF15" s="127">
        <f>IF(ISNUMBER(BC15/BA15),BC15/BA15, " - ")</f>
        <v>0.16504233903179422</v>
      </c>
      <c r="BG15" s="195">
        <f t="shared" ref="BG15:BG16" si="10">IF(ISNUMBER((AY15+AZ15)/BA15),(AY15+AZ15)/BA15," - ")</f>
        <v>1.1709538264898547</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228</v>
      </c>
      <c r="J17" s="182">
        <v>2738</v>
      </c>
      <c r="K17" s="182">
        <v>2671</v>
      </c>
      <c r="L17" s="182">
        <v>298</v>
      </c>
      <c r="M17" s="182">
        <v>254</v>
      </c>
      <c r="N17" s="182">
        <v>1946</v>
      </c>
      <c r="O17" s="182">
        <v>31</v>
      </c>
      <c r="P17" s="182">
        <v>45</v>
      </c>
      <c r="Q17" s="182">
        <v>32</v>
      </c>
      <c r="R17" s="182">
        <v>23</v>
      </c>
      <c r="S17" s="182">
        <v>221</v>
      </c>
      <c r="T17" s="182">
        <v>2083</v>
      </c>
      <c r="U17" s="182">
        <v>1984</v>
      </c>
      <c r="V17" s="182">
        <v>228</v>
      </c>
      <c r="W17" s="182">
        <v>147</v>
      </c>
      <c r="X17" s="188">
        <v>1427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221</v>
      </c>
      <c r="AZ17" s="129">
        <f t="shared" si="14"/>
        <v>2083</v>
      </c>
      <c r="BA17" s="129">
        <f t="shared" si="14"/>
        <v>1984</v>
      </c>
      <c r="BB17" s="129">
        <f t="shared" si="14"/>
        <v>228</v>
      </c>
      <c r="BC17" s="125">
        <f>IF(ISNUMBER(W17),W17," - ")</f>
        <v>147</v>
      </c>
      <c r="BD17" s="126">
        <f>IF(ISNUMBER(BA17/AZ17),BA17/AZ17," - ")</f>
        <v>0.95247239558329333</v>
      </c>
      <c r="BE17" s="127">
        <f>IF(ISNUMBER(BB17/BA17),BB17/BA17, " - ")</f>
        <v>0.11491935483870967</v>
      </c>
      <c r="BF17" s="127">
        <f>IF(ISNUMBER(BC17/BA17),BC17/BA17, " - ")</f>
        <v>7.4092741935483875E-2</v>
      </c>
      <c r="BG17" s="195">
        <f>IF(ISNUMBER((AY17+AZ17)/BA17),(AY17+AZ17)/BA17," - ")</f>
        <v>1.1612903225806452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1317</v>
      </c>
      <c r="J18" s="183">
        <f t="shared" si="15"/>
        <v>9078</v>
      </c>
      <c r="K18" s="183">
        <f t="shared" si="15"/>
        <v>8978</v>
      </c>
      <c r="L18" s="183">
        <f t="shared" si="15"/>
        <v>1439</v>
      </c>
      <c r="M18" s="183">
        <f t="shared" si="15"/>
        <v>1190</v>
      </c>
      <c r="N18" s="183">
        <f t="shared" si="15"/>
        <v>5383</v>
      </c>
      <c r="O18" s="183">
        <f t="shared" si="15"/>
        <v>269</v>
      </c>
      <c r="P18" s="183">
        <f t="shared" si="15"/>
        <v>436</v>
      </c>
      <c r="Q18" s="183">
        <f t="shared" si="15"/>
        <v>470</v>
      </c>
      <c r="R18" s="183">
        <f t="shared" si="15"/>
        <v>230</v>
      </c>
      <c r="S18" s="183">
        <f t="shared" si="15"/>
        <v>1317</v>
      </c>
      <c r="T18" s="183">
        <f t="shared" si="15"/>
        <v>8316</v>
      </c>
      <c r="U18" s="183">
        <f t="shared" si="15"/>
        <v>8243</v>
      </c>
      <c r="V18" s="183">
        <f t="shared" si="15"/>
        <v>1317</v>
      </c>
      <c r="W18" s="183">
        <f t="shared" si="15"/>
        <v>1180</v>
      </c>
      <c r="X18" s="183">
        <f t="shared" si="15"/>
        <v>4980</v>
      </c>
      <c r="Y18" s="183">
        <f t="shared" si="15"/>
        <v>0</v>
      </c>
      <c r="Z18" s="183">
        <f t="shared" si="15"/>
        <v>0</v>
      </c>
      <c r="AA18" s="183">
        <f t="shared" si="15"/>
        <v>0</v>
      </c>
      <c r="AB18" s="183">
        <f t="shared" si="15"/>
        <v>0</v>
      </c>
      <c r="AC18" s="183">
        <f t="shared" si="15"/>
        <v>13</v>
      </c>
      <c r="AD18" s="183">
        <f t="shared" si="15"/>
        <v>220</v>
      </c>
      <c r="AE18" s="183">
        <f t="shared" si="15"/>
        <v>233</v>
      </c>
      <c r="AF18" s="183">
        <f t="shared" si="15"/>
        <v>0</v>
      </c>
      <c r="AG18" s="183">
        <f t="shared" si="15"/>
        <v>0</v>
      </c>
      <c r="AH18" s="183">
        <f t="shared" si="15"/>
        <v>0</v>
      </c>
      <c r="AI18" s="183">
        <f t="shared" si="15"/>
        <v>0</v>
      </c>
      <c r="AJ18" s="183">
        <f t="shared" si="15"/>
        <v>0</v>
      </c>
      <c r="AK18" s="183">
        <f t="shared" si="15"/>
        <v>0</v>
      </c>
      <c r="AL18" s="183">
        <f t="shared" si="15"/>
        <v>244</v>
      </c>
      <c r="AM18" s="183">
        <f t="shared" si="15"/>
        <v>231</v>
      </c>
      <c r="AN18" s="183">
        <f t="shared" si="15"/>
        <v>13</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1317</v>
      </c>
      <c r="AZ18" s="183">
        <f>SUBTOTAL(9,AZ14:AZ17)</f>
        <v>8316</v>
      </c>
      <c r="BA18" s="183">
        <f>SUBTOTAL(9,BA14:BA17)</f>
        <v>8243</v>
      </c>
      <c r="BB18" s="183">
        <f>SUBTOTAL(9,BB14:BB17)</f>
        <v>1317</v>
      </c>
      <c r="BC18" s="183">
        <f>SUBTOTAL(9,BC14:BC17)</f>
        <v>1180</v>
      </c>
      <c r="BD18" s="204">
        <f>IF(ISNUMBER(BA18/AZ18),BA18/AZ18," - ")</f>
        <v>0.99122174122174123</v>
      </c>
      <c r="BE18" s="205">
        <f>IF(ISNUMBER(BB18/BA18),BB18/BA18, " - ")</f>
        <v>0.15977192769622711</v>
      </c>
      <c r="BF18" s="205">
        <f>IF(ISNUMBER(BC18/BA18),BC18/BA18, " - ")</f>
        <v>0.14315176513405314</v>
      </c>
      <c r="BG18" s="206">
        <f>IF(ISNUMBER((AY18+AZ18)/BA18),(AY18+AZ18)/BA18," - ")</f>
        <v>1.1686279267257067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9426</v>
      </c>
      <c r="J19" s="134">
        <f t="shared" si="18"/>
        <v>15961</v>
      </c>
      <c r="K19" s="134">
        <f t="shared" si="18"/>
        <v>19669</v>
      </c>
      <c r="L19" s="134">
        <f t="shared" si="18"/>
        <v>6775</v>
      </c>
      <c r="M19" s="134">
        <f t="shared" si="18"/>
        <v>5910</v>
      </c>
      <c r="N19" s="134">
        <f t="shared" si="18"/>
        <v>8880</v>
      </c>
      <c r="O19" s="134">
        <f t="shared" si="18"/>
        <v>3633</v>
      </c>
      <c r="P19" s="134">
        <f t="shared" si="18"/>
        <v>3252</v>
      </c>
      <c r="Q19" s="134">
        <f t="shared" si="18"/>
        <v>2773</v>
      </c>
      <c r="R19" s="134">
        <f t="shared" si="18"/>
        <v>10070</v>
      </c>
      <c r="S19" s="134">
        <f t="shared" si="18"/>
        <v>13481</v>
      </c>
      <c r="T19" s="134">
        <f t="shared" si="18"/>
        <v>16436</v>
      </c>
      <c r="U19" s="134">
        <f t="shared" si="18"/>
        <v>19838</v>
      </c>
      <c r="V19" s="134">
        <f t="shared" si="18"/>
        <v>9426</v>
      </c>
      <c r="W19" s="134">
        <f t="shared" si="18"/>
        <v>5697</v>
      </c>
      <c r="X19" s="134">
        <f t="shared" si="18"/>
        <v>9047</v>
      </c>
      <c r="Y19" s="134">
        <f t="shared" si="18"/>
        <v>298</v>
      </c>
      <c r="Z19" s="134">
        <f t="shared" si="18"/>
        <v>540</v>
      </c>
      <c r="AA19" s="134">
        <f t="shared" si="18"/>
        <v>555</v>
      </c>
      <c r="AB19" s="134">
        <f t="shared" si="18"/>
        <v>283</v>
      </c>
      <c r="AC19" s="134">
        <f t="shared" si="18"/>
        <v>13</v>
      </c>
      <c r="AD19" s="134">
        <f t="shared" si="18"/>
        <v>220</v>
      </c>
      <c r="AE19" s="134">
        <f t="shared" si="18"/>
        <v>233</v>
      </c>
      <c r="AF19" s="134">
        <f t="shared" si="18"/>
        <v>0</v>
      </c>
      <c r="AG19" s="134">
        <f t="shared" si="18"/>
        <v>329</v>
      </c>
      <c r="AH19" s="134">
        <f t="shared" si="18"/>
        <v>522</v>
      </c>
      <c r="AI19" s="134">
        <f t="shared" si="18"/>
        <v>553</v>
      </c>
      <c r="AJ19" s="134">
        <f t="shared" si="18"/>
        <v>298</v>
      </c>
      <c r="AK19" s="134">
        <f t="shared" si="18"/>
        <v>0</v>
      </c>
      <c r="AL19" s="134">
        <f t="shared" si="18"/>
        <v>244</v>
      </c>
      <c r="AM19" s="134">
        <f t="shared" si="18"/>
        <v>231</v>
      </c>
      <c r="AN19" s="209">
        <f t="shared" si="18"/>
        <v>13</v>
      </c>
      <c r="AO19" s="210">
        <v>11</v>
      </c>
      <c r="AP19" s="210">
        <v>11</v>
      </c>
      <c r="AQ19" s="210">
        <v>11</v>
      </c>
      <c r="AR19" s="210">
        <v>11</v>
      </c>
      <c r="AS19" s="152">
        <f t="shared" si="18"/>
        <v>0</v>
      </c>
      <c r="AT19" s="152">
        <f t="shared" si="18"/>
        <v>0</v>
      </c>
      <c r="AU19" s="210"/>
      <c r="AV19" s="211"/>
      <c r="AW19" s="210"/>
      <c r="AX19" s="211"/>
      <c r="AY19" s="133">
        <f>SUBTOTAL(9,AY9:AY18)</f>
        <v>13810</v>
      </c>
      <c r="AZ19" s="134">
        <f>SUBTOTAL(9,AZ9:AZ18)</f>
        <v>16958</v>
      </c>
      <c r="BA19" s="134">
        <f>SUBTOTAL(9,BA9:BA18)</f>
        <v>20391</v>
      </c>
      <c r="BB19" s="134">
        <f>SUBTOTAL(9,BB9:BB18)</f>
        <v>9724</v>
      </c>
      <c r="BC19" s="135">
        <f>SUBTOTAL(9,BC9:BC18)</f>
        <v>5227</v>
      </c>
      <c r="BD19" s="212">
        <f>IF(ISNUMBER(BA19/AZ19),BA19/AZ19," - ")</f>
        <v>1.2024413256280222</v>
      </c>
      <c r="BE19" s="209">
        <f>IF(ISNUMBER(BB19/BA19),BB19/BA19, " - ")</f>
        <v>0.47687705360207933</v>
      </c>
      <c r="BF19" s="209">
        <f>IF(ISNUMBER(BC19/BA19),BC19/BA19, " - ")</f>
        <v>0.25633858074640775</v>
      </c>
      <c r="BG19" s="135">
        <f>IF(ISNUMBER((AY19+AZ19)/BA19),(AY19+AZ19)/BA19," - ")</f>
        <v>1.5089009857289981</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y0w9QqbHbEVc6pnoEZ2c4xSGfKJRCSUMsOiUKl7qBL7Jb4+qe0hhvpTDrHOAxgdMpwV78wI3YF/axL1jVM4Hg==" saltValue="iHV8MVAEt9xl1z/VMlBld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E3Ux4zCyvgWhxeJdbNYwq2sVqBrbiohrBmkX13glB/rYf31A4fGm6MODKp4qKBkAgcdAYlBOI4GDZm2Bgowxg==" saltValue="9Q7/fLDnqxHddCEUTaHbn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CADIZ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540</v>
      </c>
      <c r="O9" s="333"/>
      <c r="P9" s="333"/>
      <c r="Q9" s="225">
        <f>IF(ISNUMBER(Datos!P9),Datos!P9,0)</f>
        <v>2791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2291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283</v>
      </c>
      <c r="AI9" s="333" t="str">
        <f>IF(ISNUMBER(Datos!CD9),Datos!CD9,"-")</f>
        <v>-</v>
      </c>
      <c r="AJ9" s="333" t="str">
        <f>IF(ISNUMBER(Datos!EN9),Datos!EN9," - ")</f>
        <v xml:space="preserve"> - </v>
      </c>
      <c r="AK9" s="333"/>
      <c r="AL9" s="478"/>
      <c r="AM9" s="334">
        <f>IF(ISNUMBER(Datos!R9),Datos!R9," - ")</f>
        <v>9796</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4673</v>
      </c>
      <c r="BD9" s="228">
        <f>IF(ISNUMBER(Datos!N9),Datos!N9," - ")</f>
        <v>3451</v>
      </c>
      <c r="BE9" s="228" t="str">
        <f>IF(ISNUMBER(Datos!BW9),Datos!BW9," - ")</f>
        <v xml:space="preserve"> - </v>
      </c>
      <c r="BF9" s="227" t="str">
        <f>IF(ISNUMBER(Datos!BX9),Datos!BX9," - ")</f>
        <v xml:space="preserve"> - </v>
      </c>
      <c r="BG9" s="242">
        <f>IF(ISNUMBER(IF(J_V="SI",Datos!K9/Datos!J9,(Datos!K9+Datos!AA9)/(Datos!J9+Datos!Z9))),IF(J_V="SI",Datos!K9/Datos!J9,(Datos!K9+Datos!AA9)/(Datos!J9+Datos!Z9))," - ")</f>
        <v>1.5270881909203127</v>
      </c>
      <c r="BH9" s="259">
        <f>IF(ISNUMBER(((IF(J_V="SI",Datos!L9/Datos!K9,(Datos!L9+Datos!AB9)/(Datos!K9+Datos!AA9)))*11)/factor_trimestre),((IF(J_V="SI",Datos!L9/Datos!K9,(Datos!L9+Datos!AB9)/(Datos!K9+Datos!AA9)))*11)/factor_trimestre," - ")</f>
        <v>5.4525776899586855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5.3786574870912221E-2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80</v>
      </c>
      <c r="G10" s="332">
        <f>IF(ISNUMBER(Datos!I10),Datos!I10," - ")</f>
        <v>88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112</v>
      </c>
      <c r="AC10" s="225">
        <f>IF(ISNUMBER(Datos!Q10),Datos!Q10," - ")</f>
        <v>12</v>
      </c>
      <c r="AD10" s="333"/>
      <c r="AE10" s="483"/>
      <c r="AF10" s="331">
        <f>IF(ISNUMBER(Datos!L10),Datos!L10,"-")</f>
        <v>100</v>
      </c>
      <c r="AG10" s="333"/>
      <c r="AH10" s="333"/>
      <c r="AI10" s="333"/>
      <c r="AJ10" s="333"/>
      <c r="AK10" s="333"/>
      <c r="AL10" s="478"/>
      <c r="AM10" s="334">
        <f>IF(ISNUMBER(Datos!R10),Datos!R10," - ")</f>
        <v>44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47</v>
      </c>
      <c r="BD10" s="228">
        <f>IF(ISNUMBER(Datos!N10),Datos!N10," - ")</f>
        <v>46</v>
      </c>
      <c r="BE10" s="228" t="str">
        <f>IF(ISNUMBER(Datos!BW10),Datos!BW10," - ")</f>
        <v xml:space="preserve"> - </v>
      </c>
      <c r="BF10" s="227" t="str">
        <f>IF(ISNUMBER(Datos!BX10),Datos!BX10," - ")</f>
        <v xml:space="preserve"> - </v>
      </c>
      <c r="BG10" s="242">
        <f>IF(ISNUMBER(Datos!K10/Datos!J10),Datos!K10/Datos!J10," - ")</f>
        <v>0.84848484848484851</v>
      </c>
      <c r="BH10" s="259">
        <f>IF(ISNUMBER(((Datos!L10/Datos!K10)*11)/factor_trimestre),((Datos!L10/Datos!K10)*11)/factor_trimestre," - ")</f>
        <v>9.8214285714285712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0.41935483870967744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80</v>
      </c>
      <c r="G13" s="897">
        <f t="shared" si="0"/>
        <v>88</v>
      </c>
      <c r="H13" s="898">
        <f t="shared" si="0"/>
        <v>0</v>
      </c>
      <c r="I13" s="897">
        <f t="shared" si="0"/>
        <v>0</v>
      </c>
      <c r="J13" s="866">
        <f t="shared" si="0"/>
        <v>0</v>
      </c>
      <c r="K13" s="866">
        <f t="shared" si="0"/>
        <v>0</v>
      </c>
      <c r="L13" s="898">
        <f t="shared" si="0"/>
        <v>0</v>
      </c>
      <c r="M13" s="898">
        <f t="shared" si="0"/>
        <v>0</v>
      </c>
      <c r="N13" s="898">
        <f t="shared" si="0"/>
        <v>540</v>
      </c>
      <c r="O13" s="899">
        <f t="shared" si="0"/>
        <v>0</v>
      </c>
      <c r="P13" s="899">
        <f t="shared" si="0"/>
        <v>0</v>
      </c>
      <c r="Q13" s="898">
        <f t="shared" si="0"/>
        <v>2816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112</v>
      </c>
      <c r="AC13" s="898">
        <f t="shared" si="1"/>
        <v>2303</v>
      </c>
      <c r="AD13" s="898">
        <f t="shared" si="1"/>
        <v>0</v>
      </c>
      <c r="AE13" s="898">
        <f t="shared" si="1"/>
        <v>0</v>
      </c>
      <c r="AF13" s="898">
        <f t="shared" si="1"/>
        <v>100</v>
      </c>
      <c r="AG13" s="898">
        <f t="shared" si="1"/>
        <v>0</v>
      </c>
      <c r="AH13" s="898">
        <f t="shared" si="1"/>
        <v>283</v>
      </c>
      <c r="AI13" s="898">
        <f t="shared" si="1"/>
        <v>0</v>
      </c>
      <c r="AJ13" s="898">
        <f t="shared" si="1"/>
        <v>0</v>
      </c>
      <c r="AK13" s="898">
        <f t="shared" si="1"/>
        <v>0</v>
      </c>
      <c r="AL13" s="898">
        <f t="shared" si="1"/>
        <v>0</v>
      </c>
      <c r="AM13" s="898">
        <f t="shared" si="1"/>
        <v>9840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4720</v>
      </c>
      <c r="BD13" s="898">
        <f t="shared" si="1"/>
        <v>3497</v>
      </c>
      <c r="BE13" s="898">
        <f t="shared" si="1"/>
        <v>0</v>
      </c>
      <c r="BF13" s="898">
        <f t="shared" si="1"/>
        <v>0</v>
      </c>
      <c r="BG13" s="898">
        <f>IF(ISNUMBER(Datos!K13/Datos!J13),Datos!K13/Datos!J13," - ")</f>
        <v>1.553247130611652</v>
      </c>
      <c r="BH13" s="902">
        <f>IF(ISNUMBER(((Datos!L13/Datos!K13)*11)/factor_trimestre),((Datos!L13/Datos!K13)*11)/factor_trimestre," - ")</f>
        <v>5.4902254232532037</v>
      </c>
      <c r="BI13" s="898">
        <f>IF(ISNUMBER('Resol  Asuntos'!D13/NºAsuntos!G13),'Resol  Asuntos'!D13/NºAsuntos!G13," - ")</f>
        <v>0.41970478392317268</v>
      </c>
      <c r="BJ13" s="898" t="str">
        <f>IF(ISNUMBER(Datos!CI13/Datos!CJ13),Datos!CI13/Datos!CJ13," - ")</f>
        <v xml:space="preserve"> - </v>
      </c>
      <c r="BK13" s="898">
        <f>SUBTOTAL(9,BK8:BK12)</f>
        <v>0</v>
      </c>
      <c r="BL13" s="898">
        <f>IF(ISNUMBER((I13-AB13+L13)/(F13)),(I13-AB13+L13)/(F13)," - ")</f>
        <v>-1.4</v>
      </c>
      <c r="BM13" s="903">
        <f>SUBTOTAL(9,BM9:BM12)</f>
        <v>0.47314141358058964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1108</v>
      </c>
      <c r="G15" s="597">
        <f>IF(ISNUMBER(IF(D_I="SI",Datos!I15,Datos!I15+Datos!AC15)),IF(D_I="SI",Datos!I15,Datos!I15+Datos!AC15)," - ")</f>
        <v>1089</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391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6307</v>
      </c>
      <c r="AC15" s="225">
        <f>IF(ISNUMBER(Datos!Q15),Datos!Q15," - ")</f>
        <v>438</v>
      </c>
      <c r="AD15" s="333"/>
      <c r="AE15" s="483"/>
      <c r="AF15" s="595">
        <f>IF(ISNUMBER(IF(D_I="SI",Datos!L15,Datos!L15+Datos!AF15)),IF(D_I="SI",Datos!L15,Datos!L15+Datos!AF15)," - ")</f>
        <v>1141</v>
      </c>
      <c r="AG15" s="333"/>
      <c r="AH15" s="333"/>
      <c r="AI15" s="333"/>
      <c r="AJ15" s="333"/>
      <c r="AK15" s="333"/>
      <c r="AL15" s="478"/>
      <c r="AM15" s="334">
        <f>IF(ISNUMBER(Datos!R15),Datos!R15," - ")</f>
        <v>207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936</v>
      </c>
      <c r="BD15" s="228">
        <f>IF(ISNUMBER(Datos!N15),Datos!N15," - ")</f>
        <v>3437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0.99479495268138807</v>
      </c>
      <c r="BH15" s="259">
        <f>IF(ISNUMBER(((IF(D_I="SI",Datos!L15/Datos!K15,(Datos!L15+Datos!AF15)/(Datos!K15+Datos!AE15)))*11)/factor_trimestre),((IF(D_I="SI",Datos!L15/Datos!K15,(Datos!L15+Datos!AF15)/(Datos!K15+Datos!AE15)))*11)/factor_trimestre," - ")</f>
        <v>1.9900110987791344</v>
      </c>
      <c r="BI15" s="242">
        <f>IF(ISNUMBER('Resol  Asuntos'!D15/NºAsuntos!G15),'Resol  Asuntos'!D15/NºAsuntos!G15," - ")</f>
        <v>0.14840653242429047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228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2671</v>
      </c>
      <c r="AC17" s="225">
        <f>IF(ISNUMBER(Datos!Q17),Datos!Q17," - ")</f>
        <v>32</v>
      </c>
      <c r="AD17" s="333"/>
      <c r="AE17" s="483"/>
      <c r="AF17" s="331">
        <f>IF(ISNUMBER(Datos!L17),Datos!L17,"-")</f>
        <v>298</v>
      </c>
      <c r="AG17" s="333"/>
      <c r="AH17" s="333"/>
      <c r="AI17" s="333"/>
      <c r="AJ17" s="333"/>
      <c r="AK17" s="333"/>
      <c r="AL17" s="478"/>
      <c r="AM17" s="334">
        <f>IF(ISNUMBER(Datos!R17),Datos!R17," - ")</f>
        <v>23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254</v>
      </c>
      <c r="BD17" s="228">
        <f>IF(ISNUMBER(Datos!N17),Datos!N17," - ")</f>
        <v>1946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0.97552958363769171</v>
      </c>
      <c r="BH17" s="259">
        <f>IF(ISNUMBER(((IF(D_I="SI",Datos!L17/Datos!K17,(Datos!L17+Datos!AF17)/(Datos!K17+Datos!AE17)))*11)/factor_trimestre),((IF(D_I="SI",Datos!L17/Datos!K17,(Datos!L17+Datos!AF17)/(Datos!K17+Datos!AE17)))*11)/factor_trimestre," - ")</f>
        <v>1.2272557094721077</v>
      </c>
      <c r="BI17" s="242">
        <f>IF(ISNUMBER('Resol  Asuntos'!D17/NºAsuntos!G17),'Resol  Asuntos'!D17/NºAsuntos!G17," - ")</f>
        <v>9.5095469861475102E-2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1108</v>
      </c>
      <c r="G18" s="897">
        <f>SUBTOTAL(9,G15:G17)</f>
        <v>1317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436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8978</v>
      </c>
      <c r="AC18" s="898">
        <f t="shared" si="4"/>
        <v>470</v>
      </c>
      <c r="AD18" s="898">
        <f t="shared" si="4"/>
        <v>0</v>
      </c>
      <c r="AE18" s="898">
        <f t="shared" si="4"/>
        <v>0</v>
      </c>
      <c r="AF18" s="898">
        <f t="shared" si="4"/>
        <v>1439</v>
      </c>
      <c r="AG18" s="898">
        <f t="shared" si="4"/>
        <v>0</v>
      </c>
      <c r="AH18" s="898">
        <f t="shared" si="4"/>
        <v>0</v>
      </c>
      <c r="AI18" s="898">
        <f t="shared" si="4"/>
        <v>0</v>
      </c>
      <c r="AJ18" s="898">
        <f t="shared" si="4"/>
        <v>0</v>
      </c>
      <c r="AK18" s="898">
        <f t="shared" si="4"/>
        <v>0</v>
      </c>
      <c r="AL18" s="898">
        <f t="shared" si="4"/>
        <v>0</v>
      </c>
      <c r="AM18" s="898">
        <f t="shared" si="4"/>
        <v>230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1190</v>
      </c>
      <c r="BD18" s="898">
        <f t="shared" si="4"/>
        <v>5383</v>
      </c>
      <c r="BE18" s="898">
        <f t="shared" si="4"/>
        <v>0</v>
      </c>
      <c r="BF18" s="898">
        <f t="shared" si="4"/>
        <v>0</v>
      </c>
      <c r="BG18" s="898">
        <f>IF(ISNUMBER(Datos!K18/Datos!J18),Datos!K18/Datos!J18," - ")</f>
        <v>0.98898435778805904</v>
      </c>
      <c r="BH18" s="902">
        <f>IF(ISNUMBER(((Datos!L18/Datos!K18)*11)/factor_trimestre),((Datos!L18/Datos!K18)*11)/factor_trimestre," - ")</f>
        <v>1.7630875473379373</v>
      </c>
      <c r="BI18" s="898">
        <f>SUBTOTAL(9,BI15:BI17)</f>
        <v>0.24350200228576557</v>
      </c>
      <c r="BJ18" s="898">
        <f>SUBTOTAL(9,BJ15:BJ17)</f>
        <v>0</v>
      </c>
      <c r="BK18" s="898">
        <f>SUBTOTAL(9,BK15:BK17)</f>
        <v>0</v>
      </c>
      <c r="BL18" s="898">
        <f>IF(ISNUMBER((I18-AB18+L18)/(F18)),(I18-AB18+L18)/(F18)," - ")</f>
        <v>-8.102888086642599</v>
      </c>
      <c r="BM18" s="904">
        <f>IF(ISNUMBER((Datos!P18-Datos!Q18)/(Datos!R18-Datos!P18+Datos!Q18)),(Datos!P18-Datos!Q18)/(Datos!R18-Datos!P18+Datos!Q18)," - ")</f>
        <v>-0.12878787878787878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1188</v>
      </c>
      <c r="G19" s="819">
        <f t="shared" si="6"/>
        <v>1405</v>
      </c>
      <c r="H19" s="821">
        <f t="shared" si="6"/>
        <v>0</v>
      </c>
      <c r="I19" s="819">
        <f t="shared" si="6"/>
        <v>0</v>
      </c>
      <c r="J19" s="821">
        <f t="shared" si="6"/>
        <v>0</v>
      </c>
      <c r="K19" s="821">
        <f t="shared" si="6"/>
        <v>0</v>
      </c>
      <c r="L19" s="880">
        <f t="shared" si="6"/>
        <v>0</v>
      </c>
      <c r="M19" s="880">
        <f t="shared" si="6"/>
        <v>0</v>
      </c>
      <c r="N19" s="880">
        <f t="shared" si="6"/>
        <v>540</v>
      </c>
      <c r="O19" s="880">
        <f t="shared" si="6"/>
        <v>0</v>
      </c>
      <c r="P19" s="880">
        <f t="shared" si="6"/>
        <v>0</v>
      </c>
      <c r="Q19" s="821">
        <f t="shared" si="6"/>
        <v>3252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9090</v>
      </c>
      <c r="AC19" s="820">
        <f t="shared" si="7"/>
        <v>2773</v>
      </c>
      <c r="AD19" s="820">
        <f t="shared" si="7"/>
        <v>0</v>
      </c>
      <c r="AE19" s="820">
        <f t="shared" si="7"/>
        <v>0</v>
      </c>
      <c r="AF19" s="827">
        <f t="shared" si="7"/>
        <v>1539</v>
      </c>
      <c r="AG19" s="827">
        <f t="shared" si="7"/>
        <v>0</v>
      </c>
      <c r="AH19" s="827">
        <f t="shared" si="7"/>
        <v>283</v>
      </c>
      <c r="AI19" s="827">
        <f t="shared" si="7"/>
        <v>0</v>
      </c>
      <c r="AJ19" s="820">
        <f t="shared" si="7"/>
        <v>0</v>
      </c>
      <c r="AK19" s="827">
        <f t="shared" si="7"/>
        <v>0</v>
      </c>
      <c r="AL19" s="827">
        <f t="shared" si="7"/>
        <v>0</v>
      </c>
      <c r="AM19" s="827">
        <f t="shared" si="7"/>
        <v>10070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5910</v>
      </c>
      <c r="BD19" s="819">
        <f t="shared" si="7"/>
        <v>8880</v>
      </c>
      <c r="BE19" s="819">
        <f t="shared" si="7"/>
        <v>0</v>
      </c>
      <c r="BF19" s="829">
        <f t="shared" si="7"/>
        <v>0</v>
      </c>
      <c r="BG19" s="914">
        <f>IF(ISNUMBER(Datos!K19/Datos!J19),Datos!K19/Datos!J19," - ")</f>
        <v>1.2323162709103439</v>
      </c>
      <c r="BH19" s="914">
        <f>IF(ISNUMBER(((Datos!L19/Datos!K19)*11)/factor_trimestre),((Datos!L19/Datos!K19)*11)/factor_trimestre," - ")</f>
        <v>3.788957242361076</v>
      </c>
      <c r="BI19" s="812">
        <f>IF(ISNUMBER(Datos!J19/Datos!I19),Datos!J19/Datos!I19," - ")</f>
        <v>1.6932951410990875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-7.6515151515151514</v>
      </c>
      <c r="BM19" s="888">
        <f>IF(ISNUMBER((Datos!P19-Datos!Q19+R19)/(Datos!R19-Datos!P19+Datos!Q19-R19)),(Datos!P19-Datos!Q19+R19)/(Datos!R19-Datos!P19+Datos!Q19-R19)," - ")</f>
        <v>4.994265457199458E-2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562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2.8284271247461903</v>
      </c>
      <c r="F21" s="550">
        <f>IF(ISNUMBER(STDEV(F8:F18)),STDEV(F8:F18),"-")</f>
        <v>593.51607672693524</v>
      </c>
      <c r="G21" s="551">
        <f>IF(ISNUMBER(STDEV(G8:G18)),STDEV(G8:G18),"-")</f>
        <v>593.43533767378563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3919.1702565721739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2153.548234890503</v>
      </c>
      <c r="BD21" s="550"/>
      <c r="BE21" s="550">
        <f>IF(ISNUMBER(STDEV(BE8:BE18)),STDEV(BE8:BE18),"-")</f>
        <v>0</v>
      </c>
      <c r="BF21" s="555">
        <f>IF(ISNUMBER(STDEV(BF8:BF18)),STDEV(BF8:BF18),"-")</f>
        <v>0</v>
      </c>
      <c r="BG21" s="774">
        <f>IF(ISNUMBER(STDEV(BG8:BG18)),STDEV(BG8:BG18),"-")</f>
        <v>0.30859235962261328</v>
      </c>
      <c r="BH21" s="775">
        <f>IF(ISNUMBER(STDEV(BH8:BH18)),STDEV(BH8:BH18),"-")</f>
        <v>3.2998322553019004</v>
      </c>
      <c r="BI21" s="248">
        <f>IF(ISNUMBER(STDEV(BI8:BI18)),STDEV(BI8:BI18),"-")</f>
        <v>0.14257485897610347</v>
      </c>
      <c r="BJ21" s="229" t="str">
        <f>IF(ISNUMBER(BL21/BM21),BL21/BM21," - ")</f>
        <v xml:space="preserve"> - </v>
      </c>
      <c r="BK21" s="574"/>
      <c r="BL21" s="558">
        <f>IF(ISNUMBER(STDEV(BL8:BL18)),STDEV(BL8:BL18),"-")</f>
        <v>4.7396576195995035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aqpSW/ScGCHkKeUY9iHCPQWCOxYFGY+nXjtzSkoWbltP+kV/QoTFdR4VHvWYfu3Z9jmK7mWJ76k9yr0KHrp6yA==" saltValue="if3UbNt19ONKhdxZLy+p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CADIZ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2791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2291</v>
      </c>
      <c r="AA9" s="331" t="str">
        <f>IF(ISNUMBER(IF(J_V="SI",Datos!L9,Datos!L9+Datos!AB9)-IF(Monitorios="SI",Datos!CD9,0)),
                          IF(J_V="SI",Datos!L9,Datos!L9+Datos!AB9)-IF(Monitorios="SI",Datos!CD9,0),
                          " - ")</f>
        <v xml:space="preserve"> - </v>
      </c>
      <c r="AB9" s="333"/>
      <c r="AC9" s="333"/>
      <c r="AD9" s="483"/>
      <c r="AE9" s="483">
        <f>IF(ISNUMBER(Datos!R9),Datos!R9," - ")</f>
        <v>9796</v>
      </c>
      <c r="AF9" s="228" t="str">
        <f>IF(ISNUMBER(Datos!BV9),Datos!BV9," - ")</f>
        <v xml:space="preserve"> - </v>
      </c>
      <c r="AG9" s="224" t="str">
        <f>IF(ISNUMBER(Datos!DV9),Datos!DV9," - ")</f>
        <v xml:space="preserve"> - </v>
      </c>
      <c r="AH9" s="297"/>
      <c r="AI9" s="226"/>
      <c r="AJ9" s="224">
        <f>IF(ISNUMBER(Datos!M9),Datos!M9," - ")</f>
        <v>4673</v>
      </c>
      <c r="AK9" s="228">
        <f>IF(ISNUMBER(Datos!N9),Datos!N9," - ")</f>
        <v>3451</v>
      </c>
      <c r="AL9" s="228" t="str">
        <f>IF(ISNUMBER(Datos!BW9),Datos!BW9," - ")</f>
        <v xml:space="preserve"> - </v>
      </c>
      <c r="AM9" s="227" t="str">
        <f>IF(ISNUMBER(Datos!BX9),Datos!BX9," - ")</f>
        <v xml:space="preserve"> - </v>
      </c>
      <c r="AN9" s="242"/>
      <c r="AO9" s="259">
        <f>IF(ISNUMBER(((NºAsuntos!I9/NºAsuntos!G9)*11)/factor_trimestre),((NºAsuntos!I9/NºAsuntos!G9)*11)/factor_trimestre," - ")</f>
        <v>5.4525776899586855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5.3786574870912221E-2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80</v>
      </c>
      <c r="G10" s="224">
        <f>IF(ISNUMBER(Datos!I10),Datos!I10," - ")</f>
        <v>88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112</v>
      </c>
      <c r="Z10" s="618">
        <f>IF(ISNUMBER(Datos!Q10),Datos!Q10," - ")</f>
        <v>12</v>
      </c>
      <c r="AA10" s="331">
        <f>IF(ISNUMBER(Datos!L10),Datos!L10,"-")</f>
        <v>100</v>
      </c>
      <c r="AB10" s="333"/>
      <c r="AC10" s="333"/>
      <c r="AD10" s="483"/>
      <c r="AE10" s="483">
        <f>IF(ISNUMBER(Datos!R10),Datos!R10," - ")</f>
        <v>44</v>
      </c>
      <c r="AF10" s="228" t="str">
        <f>IF(ISNUMBER(Datos!BV10),Datos!BV10," - ")</f>
        <v xml:space="preserve"> - </v>
      </c>
      <c r="AG10" s="224" t="str">
        <f>IF(ISNUMBER(Datos!DV10),Datos!DV10," - ")</f>
        <v xml:space="preserve"> - </v>
      </c>
      <c r="AH10" s="297"/>
      <c r="AI10" s="226"/>
      <c r="AJ10" s="224">
        <f>IF(ISNUMBER(Datos!M10),Datos!M10," - ")</f>
        <v>47</v>
      </c>
      <c r="AK10" s="228">
        <f>IF(ISNUMBER(Datos!N10),Datos!N10," - ")</f>
        <v>46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9.8214285714285712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0.41935483870967744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80</v>
      </c>
      <c r="G13" s="897">
        <f>SUBTOTAL(9,G8:G12)</f>
        <v>88</v>
      </c>
      <c r="H13" s="907"/>
      <c r="I13" s="897">
        <f t="shared" ref="I13:N13" si="0">SUBTOTAL(9,I8:I12)</f>
        <v>0</v>
      </c>
      <c r="J13" s="866">
        <f t="shared" si="0"/>
        <v>0</v>
      </c>
      <c r="K13" s="907">
        <f t="shared" si="0"/>
        <v>0</v>
      </c>
      <c r="L13" s="907">
        <f t="shared" si="0"/>
        <v>0</v>
      </c>
      <c r="M13" s="907">
        <f t="shared" si="0"/>
        <v>0</v>
      </c>
      <c r="N13" s="907">
        <f t="shared" si="0"/>
        <v>2816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112</v>
      </c>
      <c r="Z13" s="906">
        <f t="shared" si="2"/>
        <v>2303</v>
      </c>
      <c r="AA13" s="899">
        <f t="shared" si="2"/>
        <v>100</v>
      </c>
      <c r="AB13" s="899">
        <f t="shared" si="2"/>
        <v>0</v>
      </c>
      <c r="AC13" s="899">
        <f t="shared" si="2"/>
        <v>0</v>
      </c>
      <c r="AD13" s="899">
        <f t="shared" si="2"/>
        <v>0</v>
      </c>
      <c r="AE13" s="899">
        <f t="shared" si="2"/>
        <v>9840</v>
      </c>
      <c r="AF13" s="907">
        <f t="shared" si="2"/>
        <v>0</v>
      </c>
      <c r="AG13" s="907">
        <f t="shared" si="2"/>
        <v>0</v>
      </c>
      <c r="AH13" s="907">
        <f t="shared" si="2"/>
        <v>0</v>
      </c>
      <c r="AI13" s="907">
        <f t="shared" si="2"/>
        <v>0</v>
      </c>
      <c r="AJ13" s="907">
        <f t="shared" si="2"/>
        <v>4720</v>
      </c>
      <c r="AK13" s="907">
        <f t="shared" si="2"/>
        <v>3497</v>
      </c>
      <c r="AL13" s="907">
        <f t="shared" si="2"/>
        <v>0</v>
      </c>
      <c r="AM13" s="907">
        <f t="shared" si="2"/>
        <v>0</v>
      </c>
      <c r="AN13" s="907">
        <f t="shared" si="2"/>
        <v>0</v>
      </c>
      <c r="AO13" s="903">
        <f>IF(ISNUMBER(((NºAsuntos!I13/NºAsuntos!G13)*11)/factor_trimestre),((NºAsuntos!I13/NºAsuntos!G13)*11)/factor_trimestre," - ")</f>
        <v>5.4960874977769878</v>
      </c>
      <c r="AP13" s="909" t="str">
        <f>IF(ISNUMBER(Datos!CI13/Datos!CJ13),Datos!CI13/Datos!CJ13," - ")</f>
        <v xml:space="preserve"> - </v>
      </c>
      <c r="AQ13" s="927">
        <f t="shared" ref="AQ13:AV13" si="3">SUBTOTAL(9,AQ9:AQ12)</f>
        <v>0</v>
      </c>
      <c r="AR13" s="927">
        <f t="shared" si="3"/>
        <v>0.47314141358058964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1108</v>
      </c>
      <c r="G15" s="224">
        <f>IF(ISNUMBER(IF(D_I="SI",Datos!I15,Datos!I15+Datos!AC15)),IF(D_I="SI",Datos!I15,Datos!I15+Datos!AC15)," - ")</f>
        <v>1089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391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6307</v>
      </c>
      <c r="Z15" s="618">
        <f>IF(ISNUMBER(Datos!Q15),Datos!Q15," - ")</f>
        <v>438</v>
      </c>
      <c r="AA15" s="331">
        <f>IF(ISNUMBER(IF(D_I="SI",Datos!L15,Datos!L15+Datos!AF15)),IF(D_I="SI",Datos!L15,Datos!L15+Datos!AF15)," - ")</f>
        <v>1141</v>
      </c>
      <c r="AB15" s="333"/>
      <c r="AC15" s="333"/>
      <c r="AD15" s="483"/>
      <c r="AE15" s="483">
        <f>IF(ISNUMBER(Datos!R15),Datos!R15," - ")</f>
        <v>207</v>
      </c>
      <c r="AF15" s="228" t="str">
        <f>IF(ISNUMBER(Datos!BV15),Datos!BV15," - ")</f>
        <v xml:space="preserve"> - </v>
      </c>
      <c r="AG15" s="224"/>
      <c r="AH15" s="297"/>
      <c r="AI15" s="226"/>
      <c r="AJ15" s="224">
        <f>IF(ISNUMBER(Datos!M15),Datos!M15," - ")</f>
        <v>936</v>
      </c>
      <c r="AK15" s="228">
        <f>IF(ISNUMBER(Datos!N15),Datos!N15," - ")</f>
        <v>3437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1.9900110987791344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228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2671</v>
      </c>
      <c r="Z17" s="618">
        <f>IF(ISNUMBER(Datos!Q17),Datos!Q17," - ")</f>
        <v>32</v>
      </c>
      <c r="AA17" s="331">
        <f>IF(ISNUMBER(Datos!L17),Datos!L17,"-")</f>
        <v>298</v>
      </c>
      <c r="AB17" s="333"/>
      <c r="AC17" s="333"/>
      <c r="AD17" s="483"/>
      <c r="AE17" s="483">
        <f>IF(ISNUMBER(Datos!R17),Datos!R17," - ")</f>
        <v>23</v>
      </c>
      <c r="AF17" s="228" t="str">
        <f>IF(ISNUMBER(Datos!BV17),Datos!BV17," - ")</f>
        <v xml:space="preserve"> - </v>
      </c>
      <c r="AG17" s="224" t="str">
        <f>IF(ISNUMBER(Datos!DV17),Datos!DV17," - ")</f>
        <v xml:space="preserve"> - </v>
      </c>
      <c r="AH17" s="297"/>
      <c r="AI17" s="226"/>
      <c r="AJ17" s="224">
        <f>IF(ISNUMBER(Datos!M17),Datos!M17," - ")</f>
        <v>254</v>
      </c>
      <c r="AK17" s="228">
        <f>IF(ISNUMBER(Datos!N17),Datos!N17," - ")</f>
        <v>1946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1.2272557094721077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1108</v>
      </c>
      <c r="G18" s="897">
        <f>SUBTOTAL(9,G15:G17)</f>
        <v>1317</v>
      </c>
      <c r="H18" s="931">
        <f>SUBTOTAL(9,H15:H17)</f>
        <v>0</v>
      </c>
      <c r="I18" s="910">
        <f>SUBTOTAL(9,I15:I17)</f>
        <v>0</v>
      </c>
      <c r="J18" s="866">
        <f>SUBTOTAL(9,J14:J17)</f>
        <v>0</v>
      </c>
      <c r="K18" s="931">
        <f t="shared" ref="K18:S18" si="4">SUBTOTAL(9,K15:K17)</f>
        <v>0</v>
      </c>
      <c r="L18" s="931">
        <f t="shared" si="4"/>
        <v>0</v>
      </c>
      <c r="M18" s="931">
        <f t="shared" si="4"/>
        <v>0</v>
      </c>
      <c r="N18" s="931">
        <f t="shared" si="4"/>
        <v>436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8978</v>
      </c>
      <c r="Z18" s="931">
        <f t="shared" si="5"/>
        <v>470</v>
      </c>
      <c r="AA18" s="931">
        <f t="shared" si="5"/>
        <v>1439</v>
      </c>
      <c r="AB18" s="931">
        <f t="shared" si="5"/>
        <v>0</v>
      </c>
      <c r="AC18" s="931">
        <f t="shared" si="5"/>
        <v>0</v>
      </c>
      <c r="AD18" s="931">
        <f t="shared" si="5"/>
        <v>0</v>
      </c>
      <c r="AE18" s="931">
        <f t="shared" si="5"/>
        <v>230</v>
      </c>
      <c r="AF18" s="931">
        <f t="shared" si="5"/>
        <v>0</v>
      </c>
      <c r="AG18" s="931">
        <f t="shared" si="5"/>
        <v>0</v>
      </c>
      <c r="AH18" s="931">
        <f t="shared" si="5"/>
        <v>0</v>
      </c>
      <c r="AI18" s="931">
        <f t="shared" si="5"/>
        <v>0</v>
      </c>
      <c r="AJ18" s="931">
        <f t="shared" si="5"/>
        <v>1190</v>
      </c>
      <c r="AK18" s="931">
        <f t="shared" si="5"/>
        <v>5383</v>
      </c>
      <c r="AL18" s="931">
        <f t="shared" si="5"/>
        <v>0</v>
      </c>
      <c r="AM18" s="931">
        <f t="shared" si="5"/>
        <v>0</v>
      </c>
      <c r="AN18" s="931">
        <f t="shared" si="5"/>
        <v>0</v>
      </c>
      <c r="AO18" s="933">
        <f>IF(ISNUMBER(((NºAsuntos!I18/NºAsuntos!G18)*11)/factor_trimestre),((NºAsuntos!I18/NºAsuntos!G18)*11)/factor_trimestre," - ")</f>
        <v>1.7630875473379373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1188</v>
      </c>
      <c r="G19" s="819">
        <f t="shared" si="7"/>
        <v>1405</v>
      </c>
      <c r="H19" s="820">
        <f t="shared" si="7"/>
        <v>0</v>
      </c>
      <c r="I19" s="819">
        <f t="shared" si="7"/>
        <v>0</v>
      </c>
      <c r="J19" s="821">
        <f t="shared" si="7"/>
        <v>0</v>
      </c>
      <c r="K19" s="819">
        <f t="shared" si="7"/>
        <v>0</v>
      </c>
      <c r="L19" s="822">
        <f t="shared" si="7"/>
        <v>0</v>
      </c>
      <c r="M19" s="819">
        <f t="shared" si="7"/>
        <v>0</v>
      </c>
      <c r="N19" s="820">
        <f t="shared" si="7"/>
        <v>3252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9090</v>
      </c>
      <c r="Z19" s="826">
        <f t="shared" si="8"/>
        <v>2773</v>
      </c>
      <c r="AA19" s="827">
        <f t="shared" si="8"/>
        <v>1539</v>
      </c>
      <c r="AB19" s="827">
        <f t="shared" si="8"/>
        <v>0</v>
      </c>
      <c r="AC19" s="827">
        <f t="shared" si="8"/>
        <v>0</v>
      </c>
      <c r="AD19" s="828">
        <f t="shared" si="8"/>
        <v>0</v>
      </c>
      <c r="AE19" s="828">
        <f t="shared" si="8"/>
        <v>10070</v>
      </c>
      <c r="AF19" s="829">
        <f t="shared" si="8"/>
        <v>0</v>
      </c>
      <c r="AG19" s="830">
        <f t="shared" si="8"/>
        <v>0</v>
      </c>
      <c r="AH19" s="831">
        <f t="shared" si="8"/>
        <v>0</v>
      </c>
      <c r="AI19" s="829">
        <f t="shared" si="8"/>
        <v>0</v>
      </c>
      <c r="AJ19" s="819">
        <f t="shared" si="8"/>
        <v>5910</v>
      </c>
      <c r="AK19" s="819">
        <f t="shared" si="8"/>
        <v>8880</v>
      </c>
      <c r="AL19" s="819">
        <f t="shared" si="8"/>
        <v>0</v>
      </c>
      <c r="AM19" s="832">
        <f t="shared" si="8"/>
        <v>0</v>
      </c>
      <c r="AN19" s="822">
        <f>IF(ISNUMBER(Datos!K19/Datos!J19),Datos!K19/Datos!J19," - ")</f>
        <v>1.2323162709103439</v>
      </c>
      <c r="AO19" s="822">
        <f>IF(ISNUMBER(FIND("06",Criterios!A8,1)),(IF(ISNUMBER(((Datos!R19/Datos!Q19)*11)/factor_trimestre),((Datos!R19/Datos!Q19)*11)/factor_trimestre," - ")),(IF(ISNUMBER(((Datos!L19/Datos!K19)*11)/factor_trimestre),((Datos!L19/Datos!K19)*11)/factor_trimestre," - ")))</f>
        <v>3.788957242361076</v>
      </c>
      <c r="AP19" s="833" t="str">
        <f>IF(ISNUMBER(Datos!CI19/Datos!CJ19),Datos!CI19/Datos!CJ19," - ")</f>
        <v xml:space="preserve"> - </v>
      </c>
      <c r="AQ19" s="833">
        <f>IF(OR(ISNUMBER(FIND("01",Criterios!A8,1)),ISNUMBER(FIND("02",Criterios!A8,1)),ISNUMBER(FIND("03",Criterios!A8,1)),ISNUMBER(FIND("04",Criterios!A8,1))),(J19-Y19+K19)/(F19-K19),(I19-Y19+K19)/(F19-K19))</f>
        <v>-7.6515151515151514</v>
      </c>
      <c r="AR19" s="833">
        <f>IF(ISNUMBER((Datos!P19-Datos!Q19+O19)/(Datos!R19-Datos!P19+Datos!Q19-O19)),(Datos!P19-Datos!Q19+O19)/(Datos!R19-Datos!P19+Datos!Q19-O19)," - ")</f>
        <v>4.994265457199458E-2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562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593.51607672693524</v>
      </c>
      <c r="G21" s="551">
        <f>IF(ISNUMBER(STDEV(G8:G18)),STDEV(G8:G18),"-")</f>
        <v>593.43533767378563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2153.548234890503</v>
      </c>
      <c r="AK21" s="251"/>
      <c r="AL21" s="251">
        <f>IF(ISNUMBER(STDEV(AL8:AL18)),STDEV(AL8:AL18),"-")</f>
        <v>0</v>
      </c>
      <c r="AM21" s="253">
        <f>IF(ISNUMBER(STDEV(AM8:AM18)),STDEV(AM8:AM18),"-")</f>
        <v>0</v>
      </c>
      <c r="AN21" s="538">
        <f>IF(ISNUMBER(STDEV(AN8:AN18)),STDEV(AN8:AN18),"-")</f>
        <v>0</v>
      </c>
      <c r="AO21" s="539">
        <f>IF(ISNUMBER(STDEV(AO8:AO18)),STDEV(AO8:AO18),"-")</f>
        <v>3.3002592583846679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PjxgXgQMpOsyTsJ4MyqpIrJ61WxN4a6xpH7ywFEIVwZ1WSnmHoHRshlfss3CF6yygSsn4qhUyuDcB6mKwJB8pw==" saltValue="sUdeI/rYILyN/caFi8dU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CuBzgbiioVWfesctzSCkXjcMsBbMKlRC8fTcph7rprVsCtSFtEeXIR8GxIyBc7nGVQlgB71z986hkSbViTzkg==" saltValue="G70lv64hTjz07Ns6fSec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W4a+sAPvNCBBcXz5NB07oUJ1LDP+z4JX5tQPDRz1XY4OqgpMvR8UVlPkzxNINIJ0osZhPb+hWRucHUS30LJzQ==" saltValue="veRvvofLe5jfjoT90whON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CADIZ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0.41970478392317268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0.29677609880851008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JtzTFAiRkXxNxnCNnGhR7U9liZDH1XhtVx3JQoflyD7w+XmJIOT9y6E7oB/tyMdeoUR8zylnAa+yCYtUrhIlDg==" saltValue="0euEvPXUpf3IrWPNqeqT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x05lgzar1BCZ2qny4jHg11ojchh953lySYgzyaE9tI4tC9KMw74qgoB0pvzKOswBdhT08p7ENXbsR4D3n1mFw==" saltValue="zaaKavX3L8N/oxhS29hm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CADIZ</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8319</v>
      </c>
      <c r="D9" s="403">
        <f>IF(ISNUMBER(C9/Datos!BH9),C9/Datos!BH9," - ")</f>
        <v>1386.5</v>
      </c>
      <c r="E9" s="402">
        <f>IF(ISNUMBER(IF(J_V="SI",Datos!J9,Datos!J9+Datos!Z9)),IF(J_V="SI",Datos!J9,Datos!J9+Datos!Z9)," - ")</f>
        <v>7291</v>
      </c>
      <c r="F9" s="403">
        <f>IF(ISNUMBER(E9/B9),E9/B9," - ")</f>
        <v>1215.1666666666667</v>
      </c>
      <c r="G9" s="402">
        <f>IF(ISNUMBER(IF(J_V="SI",Datos!K9,Datos!K9+Datos!AA9)),IF(J_V="SI",Datos!K9,Datos!K9+Datos!AA9)," - ")</f>
        <v>11134</v>
      </c>
      <c r="H9" s="403">
        <f>IF(ISNUMBER(G9/B9),G9/B9," - ")</f>
        <v>1855.6666666666667</v>
      </c>
      <c r="I9" s="402">
        <f>IF(ISNUMBER(IF(J_V="SI",Datos!L9,Datos!L9+Datos!AB9)),IF(J_V="SI",Datos!L9,Datos!L9+Datos!AB9)," - ")</f>
        <v>5519</v>
      </c>
      <c r="J9" s="403">
        <f>IF(ISNUMBER(I9/B9),I9/B9," - ")</f>
        <v>919.83333333333337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88</v>
      </c>
      <c r="D10" s="403">
        <f>IF(ISNUMBER(C10/Datos!BH10),C10/Datos!BH10," - ")</f>
        <v>88</v>
      </c>
      <c r="E10" s="402">
        <f>IF(ISNUMBER(Datos!J10),Datos!J10," - ")</f>
        <v>132</v>
      </c>
      <c r="F10" s="403">
        <f>IF(ISNUMBER(E10/B10),E10/B10," - ")</f>
        <v>132</v>
      </c>
      <c r="G10" s="402">
        <f>IF(ISNUMBER(Datos!K10),Datos!K10," - ")</f>
        <v>112</v>
      </c>
      <c r="H10" s="403">
        <f>IF(ISNUMBER(G10/B10),G10/B10," - ")</f>
        <v>112</v>
      </c>
      <c r="I10" s="402">
        <f>IF(ISNUMBER(Datos!L10),Datos!L10," - ")</f>
        <v>100</v>
      </c>
      <c r="J10" s="403">
        <f>IF(ISNUMBER(I10/B10),I10/B10," - ")</f>
        <v>100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8407</v>
      </c>
      <c r="D13" s="849" t="str">
        <f>IF(ISNUMBER(C13/Datos!BI13),C13/Datos!BI13," - ")</f>
        <v xml:space="preserve"> - </v>
      </c>
      <c r="E13" s="848">
        <f>SUBTOTAL(9,E8:E12)</f>
        <v>7423</v>
      </c>
      <c r="F13" s="849">
        <f>IF(ISNUMBER(E13/B13),E13/B13," - ")</f>
        <v>1060.4285714285713</v>
      </c>
      <c r="G13" s="848">
        <f>SUBTOTAL(9,G8:G12)</f>
        <v>11246</v>
      </c>
      <c r="H13" s="849">
        <f>IF(ISNUMBER(G13/B13),G13/B13," - ")</f>
        <v>1606.5714285714287</v>
      </c>
      <c r="I13" s="848">
        <f>SUBTOTAL(9,I8:I12)</f>
        <v>5619</v>
      </c>
      <c r="J13" s="849">
        <f>IF(ISNUMBER(I13/B13),I13/B13," - ")</f>
        <v>802.71428571428567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1089</v>
      </c>
      <c r="D15" s="403">
        <f>IF(ISNUMBER(C15/Datos!BH15),C15/Datos!BH15," - ")</f>
        <v>272.25</v>
      </c>
      <c r="E15" s="402">
        <f>IF(ISNUMBER(IF(D_I="SI",Datos!J15,Datos!J15+Datos!AD15)),IF(D_I="SI",Datos!J15,Datos!J15+Datos!AD15)," - ")</f>
        <v>6340</v>
      </c>
      <c r="F15" s="403">
        <f>IF(ISNUMBER(E15/B15),E15/B15," - ")</f>
        <v>1585</v>
      </c>
      <c r="G15" s="402">
        <f>IF(ISNUMBER(IF(D_I="SI",Datos!K15,Datos!K15+Datos!AE15)),IF(D_I="SI",Datos!K15,Datos!K15+Datos!AE15)," - ")</f>
        <v>6307</v>
      </c>
      <c r="H15" s="403">
        <f>IF(ISNUMBER(G15/B15),G15/B15," - ")</f>
        <v>1576.75</v>
      </c>
      <c r="I15" s="402">
        <f>IF(ISNUMBER(IF(D_I="SI",Datos!L15,Datos!L15+Datos!AF15)),IF(D_I="SI",Datos!L15,Datos!L15+Datos!AF15)," - ")</f>
        <v>1141</v>
      </c>
      <c r="J15" s="403">
        <f>IF(ISNUMBER(I15/B15),I15/B15," - ")</f>
        <v>285.25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228</v>
      </c>
      <c r="D17" s="403">
        <f>IF(ISNUMBER(C17/Datos!BH17),C17/Datos!BH17," - ")</f>
        <v>228</v>
      </c>
      <c r="E17" s="402">
        <f>IF(ISNUMBER(IF(D_I="SI",Datos!J17,Datos!J17+Datos!AD17)),IF(D_I="SI",Datos!J17,Datos!J17+Datos!AD17)," - ")</f>
        <v>2738</v>
      </c>
      <c r="F17" s="403">
        <f>IF(ISNUMBER(E17/B17),E17/B17," - ")</f>
        <v>2738</v>
      </c>
      <c r="G17" s="402">
        <f>IF(ISNUMBER(IF(D_I="SI",Datos!K17,Datos!K17+Datos!AE17)),IF(D_I="SI",Datos!K17,Datos!K17+Datos!AE17)," - ")</f>
        <v>2671</v>
      </c>
      <c r="H17" s="403">
        <f>IF(ISNUMBER(G17/B17),G17/B17," - ")</f>
        <v>2671</v>
      </c>
      <c r="I17" s="402">
        <f>IF(ISNUMBER(IF(D_I="SI",Datos!L17,Datos!L17+Datos!AF17)),IF(D_I="SI",Datos!L17,Datos!L17+Datos!AF17)," - ")</f>
        <v>298</v>
      </c>
      <c r="J17" s="403">
        <f>IF(ISNUMBER(I17/B17),I17/B17," - ")</f>
        <v>298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1317</v>
      </c>
      <c r="D18" s="849" t="str">
        <f>IF(ISNUMBER(C18/Datos!BI18),C18/Datos!BI18," - ")</f>
        <v xml:space="preserve"> - </v>
      </c>
      <c r="E18" s="848">
        <f>SUBTOTAL(9,E14:E17)</f>
        <v>9078</v>
      </c>
      <c r="F18" s="849">
        <f>IF(ISNUMBER(E18/B18),E18/B18," - ")</f>
        <v>1815.6</v>
      </c>
      <c r="G18" s="848">
        <f>SUBTOTAL(9,G14:G17)</f>
        <v>8978</v>
      </c>
      <c r="H18" s="849">
        <f>IF(ISNUMBER(G18/B18),G18/B18," - ")</f>
        <v>1795.6</v>
      </c>
      <c r="I18" s="848">
        <f>SUBTOTAL(9,I14:I17)</f>
        <v>1439</v>
      </c>
      <c r="J18" s="849">
        <f>IF(ISNUMBER(I18/B18),I18/B18," - ")</f>
        <v>287.8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9724</v>
      </c>
      <c r="D19" s="794" t="str">
        <f>IF(ISNUMBER(C19/Datos!BI19),C19/Datos!BI19," - ")</f>
        <v xml:space="preserve"> - </v>
      </c>
      <c r="E19" s="793">
        <f>SUBTOTAL(9,E9:E18)</f>
        <v>16501</v>
      </c>
      <c r="F19" s="794">
        <f>IF(ISNUMBER(E19/B19),E19/B19," - ")</f>
        <v>1500.090909090909</v>
      </c>
      <c r="G19" s="793">
        <f>SUBTOTAL(9,G9:G18)</f>
        <v>20224</v>
      </c>
      <c r="H19" s="794">
        <f>IF(ISNUMBER(G19/B19),G19/B19," - ")</f>
        <v>1838.5454545454545</v>
      </c>
      <c r="I19" s="793">
        <f>SUBTOTAL(9,I9:I18)</f>
        <v>7058</v>
      </c>
      <c r="J19" s="794">
        <f>IF(ISNUMBER(I19/B19),I19/B19," - ")</f>
        <v>641.63636363636363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5TPOrFkj73Pi9bS6otG2ELaxdtlRjEId64iwjyi9dSJQvSDWr5nAazHA5iYna83LB8JgEpX/Hj9zZ3E+ppj0g==" saltValue="rEtINMbvzJJVNXL5TeAz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CADIZ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80</v>
      </c>
      <c r="G10" s="683">
        <f>IF(ISNUMBER(Datos!I10),Datos!I10," - ")</f>
        <v>88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112</v>
      </c>
      <c r="AC10" s="682" t="str">
        <f>IF(ISNUMBER(IF(D_I="SI",DatosP!K17,DatosP!K17+DatosP!AE17)),IF(D_I="SI",DatosP!K17,DatosP!K17+DatosP!AE17)," - ")</f>
        <v xml:space="preserve"> - </v>
      </c>
      <c r="AD10" s="684"/>
      <c r="AE10" s="684"/>
      <c r="AF10" s="687">
        <f>IF(ISNUMBER(Datos!L10),Datos!L10,"-")</f>
        <v>100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47</v>
      </c>
      <c r="AM10" s="689">
        <f>IF(ISNUMBER(Datos!N10+DatosP!N17),Datos!N10+DatosP!N17," - ")</f>
        <v>46</v>
      </c>
      <c r="AN10" s="689">
        <f>IF(ISNUMBER(Datos!BW10+DatosP!BW17),Datos!BW10+DatosP!BW17," - ")</f>
        <v>0</v>
      </c>
      <c r="AO10" s="690">
        <f>IF(ISNUMBER(Datos!BX10+DatosP!BX17),Datos!BX10+DatosP!BX17," - ")</f>
        <v>0</v>
      </c>
      <c r="AP10" s="692">
        <f>IF(ISNUMBER(((Datos!L10/Datos!K10)*11)/factor_trimestre),((Datos!L10/Datos!K10)*11)/factor_trimestre," - ")</f>
        <v>9.8214285714285712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80</v>
      </c>
      <c r="G13" s="937">
        <f t="shared" si="0"/>
        <v>88</v>
      </c>
      <c r="H13" s="937">
        <f t="shared" si="0"/>
        <v>0</v>
      </c>
      <c r="I13" s="939">
        <f t="shared" si="0"/>
        <v>0</v>
      </c>
      <c r="J13" s="938">
        <f t="shared" si="0"/>
        <v>0</v>
      </c>
      <c r="K13" s="938">
        <f t="shared" si="0"/>
        <v>0</v>
      </c>
      <c r="L13" s="940">
        <f t="shared" si="0"/>
        <v>0</v>
      </c>
      <c r="M13" s="940">
        <f t="shared" si="0"/>
        <v>0</v>
      </c>
      <c r="N13" s="938">
        <f t="shared" si="0"/>
        <v>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112</v>
      </c>
      <c r="AC13" s="938">
        <f t="shared" si="1"/>
        <v>0</v>
      </c>
      <c r="AD13" s="938">
        <f t="shared" si="1"/>
        <v>0</v>
      </c>
      <c r="AE13" s="938">
        <f t="shared" si="1"/>
        <v>0</v>
      </c>
      <c r="AF13" s="938">
        <f t="shared" si="1"/>
        <v>100</v>
      </c>
      <c r="AG13" s="938">
        <f t="shared" si="1"/>
        <v>0</v>
      </c>
      <c r="AH13" s="938">
        <f t="shared" si="1"/>
        <v>0</v>
      </c>
      <c r="AI13" s="938">
        <f t="shared" si="1"/>
        <v>0</v>
      </c>
      <c r="AJ13" s="938">
        <f t="shared" si="1"/>
        <v>0</v>
      </c>
      <c r="AK13" s="938">
        <f t="shared" si="1"/>
        <v>0</v>
      </c>
      <c r="AL13" s="938">
        <f t="shared" si="1"/>
        <v>47</v>
      </c>
      <c r="AM13" s="938">
        <f t="shared" si="1"/>
        <v>46</v>
      </c>
      <c r="AN13" s="938">
        <f t="shared" si="1"/>
        <v>0</v>
      </c>
      <c r="AO13" s="938">
        <f t="shared" si="1"/>
        <v>0</v>
      </c>
      <c r="AP13" s="943">
        <f>IF(ISNUMBER(((Datos!L13/Datos!K13)*11)/factor_trimestre),((Datos!L13/Datos!K13)*11)/factor_trimestre," - ")</f>
        <v>5.4902254232532037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1.7630875473379373</v>
      </c>
      <c r="AQ18" s="943">
        <f>IF(ISNUMBER(((Datos!M18/Datos!L18)*11)/factor_trimestre),((Datos!M18/Datos!L18)*11)/factor_trimestre," - ")</f>
        <v>9.0965948575399587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-0.12878787878787878</v>
      </c>
      <c r="AW18" s="945">
        <f>IF(ISNUMBER((Datos!Q18-Datos!R18)/(Datos!S18-Datos!Q18+Datos!R18)),(Datos!Q18-Datos!R18)/(Datos!S18-Datos!Q18+Datos!R18)," - ")</f>
        <v>0.22284122562674094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80</v>
      </c>
      <c r="G19" s="950">
        <f t="shared" si="4"/>
        <v>88</v>
      </c>
      <c r="H19" s="950">
        <f t="shared" si="4"/>
        <v>0</v>
      </c>
      <c r="I19" s="951">
        <f t="shared" si="4"/>
        <v>0</v>
      </c>
      <c r="J19" s="952">
        <f t="shared" si="4"/>
        <v>0</v>
      </c>
      <c r="K19" s="952">
        <f t="shared" si="4"/>
        <v>0</v>
      </c>
      <c r="L19" s="952">
        <f t="shared" si="4"/>
        <v>0</v>
      </c>
      <c r="M19" s="952">
        <f t="shared" si="4"/>
        <v>0</v>
      </c>
      <c r="N19" s="951">
        <f t="shared" si="4"/>
        <v>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112</v>
      </c>
      <c r="AC19" s="956">
        <f t="shared" si="5"/>
        <v>0</v>
      </c>
      <c r="AD19" s="956">
        <f t="shared" si="5"/>
        <v>0</v>
      </c>
      <c r="AE19" s="956">
        <f t="shared" si="5"/>
        <v>0</v>
      </c>
      <c r="AF19" s="957">
        <f t="shared" si="5"/>
        <v>100</v>
      </c>
      <c r="AG19" s="957">
        <f t="shared" si="5"/>
        <v>0</v>
      </c>
      <c r="AH19" s="957">
        <f t="shared" si="5"/>
        <v>0</v>
      </c>
      <c r="AI19" s="957">
        <f t="shared" si="5"/>
        <v>0</v>
      </c>
      <c r="AJ19" s="958">
        <f t="shared" si="5"/>
        <v>0</v>
      </c>
      <c r="AK19" s="958">
        <f t="shared" si="5"/>
        <v>0</v>
      </c>
      <c r="AL19" s="950">
        <f t="shared" si="5"/>
        <v>47</v>
      </c>
      <c r="AM19" s="950">
        <f t="shared" si="5"/>
        <v>46</v>
      </c>
      <c r="AN19" s="950">
        <f t="shared" si="5"/>
        <v>0</v>
      </c>
      <c r="AO19" s="950">
        <f t="shared" si="5"/>
        <v>0</v>
      </c>
      <c r="AP19" s="950">
        <f>IF(ISNUMBER(((Datos!L19/Datos!K19)*11)/factor_trimestre),((Datos!L19/Datos!K19)*11)/factor_trimestre," - ")</f>
        <v>3.788957242361076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4.994265457199458E-2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58.666666666666664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46.188021535170058</v>
      </c>
      <c r="G21" s="736">
        <f>IF(ISNUMBER(STDEV(G8:G18)),STDEV(G8:G18),"-")</f>
        <v>50.806823688687061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64.663230149238089</v>
      </c>
      <c r="AC21" s="737">
        <f>IF(ISNUMBER(STDEV(AC8:AC18)),STDEV(AC8:AC18),"-")</f>
        <v>0</v>
      </c>
      <c r="AD21" s="740"/>
      <c r="AE21" s="740"/>
      <c r="AF21" s="740"/>
      <c r="AG21" s="740"/>
      <c r="AH21" s="740"/>
      <c r="AI21" s="740"/>
      <c r="AJ21" s="741">
        <f>IF(ISNUMBER(STDEV(AJ8:AJ18)),STDEV(AJ8:AJ18),"-")</f>
        <v>0</v>
      </c>
      <c r="AK21" s="743"/>
      <c r="AL21" s="735">
        <f>IF(ISNUMBER(STDEV(AL8:AL18)),STDEV(AL8:AL18),"-")</f>
        <v>27.135462651912409</v>
      </c>
      <c r="AM21" s="735"/>
      <c r="AN21" s="735">
        <f>IF(ISNUMBER(STDEV(AN8:AN18)),STDEV(AN8:AN18),"-")</f>
        <v>0</v>
      </c>
      <c r="AO21" s="741">
        <f>IF(ISNUMBER(STDEV(AO8:AO18)),STDEV(AO8:AO18),"-")</f>
        <v>0</v>
      </c>
      <c r="AP21" s="778">
        <f>IF(ISNUMBER(STDEV(AP8:AP18)),STDEV(AP8:AP18),"-")</f>
        <v>4.0329422162442068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FWVh/Ext2rkIj0cAUmjn3z6fgSlzzvopl5vrU7MbQzxp6/BvUAIVa9QjBkgIwmIvLeqhQ0YXqZr0slmVYgxr7g==" saltValue="1ehBhW3hL/GiQsoU+WDs2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CADIZ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kSMeI+4shqxE4P3b3eyJXW5RmSlGb081ZCOLolZDRIuP1mZy9S9HD+xdP5auiFXw/5FcOMalE/s9UCPKmFmJOg==" saltValue="QjgK7ClwAX5biSFX+wDT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CADIZ</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4673</v>
      </c>
      <c r="E9" s="403">
        <f t="shared" ref="E9:E13" si="0">IF(ISNUMBER(D9/B9),D9/B9," - ")</f>
        <v>778.83333333333337</v>
      </c>
      <c r="F9" s="402">
        <f>IF(ISNUMBER(Datos!N9),Datos!N9," - ")</f>
        <v>3451</v>
      </c>
      <c r="G9" s="403">
        <f t="shared" ref="G9:G13" si="1">IF(ISNUMBER(F9/B9),F9/B9," - ")</f>
        <v>575.16666666666663</v>
      </c>
      <c r="H9" s="402">
        <f>IF(ISNUMBER(Datos!O9),Datos!O9," - ")</f>
        <v>3333</v>
      </c>
      <c r="I9" s="403">
        <f>IF(ISNUMBER(H9/B9),H9/B9," - ")</f>
        <v>555.5</v>
      </c>
      <c r="BZ9" s="1185">
        <f>Datos!EZ9</f>
        <v>0</v>
      </c>
    </row>
    <row r="10" spans="1:78">
      <c r="A10" s="401" t="str">
        <f>Datos!A10</f>
        <v>Jdos. Violencia contra la mujer/Secc Viol. TI.</v>
      </c>
      <c r="B10" s="426">
        <f>Datos!AO10</f>
        <v>1</v>
      </c>
      <c r="C10" s="409">
        <f>Datos!AQ10</f>
        <v>1</v>
      </c>
      <c r="D10" s="402">
        <f>IF(ISNUMBER(Datos!M10),Datos!M10," - ")</f>
        <v>47</v>
      </c>
      <c r="E10" s="403">
        <f>IF(ISNUMBER(D10/B10),D10/B10," - ")</f>
        <v>47</v>
      </c>
      <c r="F10" s="402">
        <f>IF(ISNUMBER(Datos!N10),Datos!N10," - ")</f>
        <v>46</v>
      </c>
      <c r="G10" s="403">
        <f>IF(ISNUMBER(F10/B10),F10/B10," - ")</f>
        <v>46</v>
      </c>
      <c r="H10" s="402">
        <f>IF(ISNUMBER(Datos!O10),Datos!O10," - ")</f>
        <v>31</v>
      </c>
      <c r="I10" s="403">
        <f t="shared" ref="I10:I12" si="2">IF(ISNUMBER(H10/B10),H10/B10," - ")</f>
        <v>31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4720</v>
      </c>
      <c r="E13" s="849">
        <f t="shared" si="0"/>
        <v>674.28571428571433</v>
      </c>
      <c r="F13" s="848">
        <f>SUBTOTAL(9,F9:F12)</f>
        <v>3497</v>
      </c>
      <c r="G13" s="849">
        <f t="shared" si="1"/>
        <v>499.57142857142856</v>
      </c>
      <c r="H13" s="848">
        <f>SUBTOTAL(9,H9:H12)</f>
        <v>3364</v>
      </c>
      <c r="I13" s="849">
        <f>IF(ISNUMBER(H13/B13),H13/B13," - ")</f>
        <v>480.57142857142856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936</v>
      </c>
      <c r="E15" s="403">
        <f t="shared" ref="E15:E18" si="3">IF(ISNUMBER(D15/B15),D15/B15," - ")</f>
        <v>234</v>
      </c>
      <c r="F15" s="402">
        <f>IF(ISNUMBER(Datos!N15),Datos!N15," - ")</f>
        <v>3437</v>
      </c>
      <c r="G15" s="403">
        <f t="shared" ref="G15:G18" si="4">IF(ISNUMBER(F15/B15),F15/B15," - ")</f>
        <v>859.25</v>
      </c>
      <c r="H15" s="402">
        <f>IF(ISNUMBER(Datos!O15),Datos!O15," - ")</f>
        <v>238</v>
      </c>
      <c r="I15" s="403">
        <f t="shared" ref="I15:I17" si="5">IF(ISNUMBER(H15/B15),H15/B15," - ")</f>
        <v>59.5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254</v>
      </c>
      <c r="E17" s="403">
        <f>IF(ISNUMBER(D17/B17),D17/B17," - ")</f>
        <v>254</v>
      </c>
      <c r="F17" s="402">
        <f>IF(ISNUMBER(Datos!N17),Datos!N17," - ")</f>
        <v>1946</v>
      </c>
      <c r="G17" s="403">
        <f>IF(ISNUMBER(F17/B17),F17/B17," - ")</f>
        <v>1946</v>
      </c>
      <c r="H17" s="402">
        <f>IF(ISNUMBER(Datos!O17),Datos!O17," - ")</f>
        <v>31</v>
      </c>
      <c r="I17" s="403">
        <f t="shared" si="5"/>
        <v>31</v>
      </c>
      <c r="BZ17" s="1185">
        <f>Datos!EZ17</f>
        <v>0</v>
      </c>
    </row>
    <row r="18" spans="1:78" ht="14.25" thickTop="1" thickBot="1">
      <c r="A18" s="847" t="str">
        <f>Datos!A18</f>
        <v>TOTAL</v>
      </c>
      <c r="B18" s="848">
        <f>Datos!AP18</f>
        <v>5</v>
      </c>
      <c r="C18" s="850">
        <f>Datos!AR18</f>
        <v>5</v>
      </c>
      <c r="D18" s="848">
        <f>SUBTOTAL(9,D15:D17)</f>
        <v>1190</v>
      </c>
      <c r="E18" s="849">
        <f t="shared" si="3"/>
        <v>238</v>
      </c>
      <c r="F18" s="848">
        <f>SUBTOTAL(9,F15:F17)</f>
        <v>5383</v>
      </c>
      <c r="G18" s="849">
        <f t="shared" si="4"/>
        <v>1076.5999999999999</v>
      </c>
      <c r="H18" s="848">
        <f>SUBTOTAL(9,H15:H17)</f>
        <v>269</v>
      </c>
      <c r="I18" s="849">
        <f>IF(ISNUMBER(H18/B18),H18/B18," - ")</f>
        <v>53.8</v>
      </c>
      <c r="BZ18" s="1185"/>
    </row>
    <row r="19" spans="1:78" ht="14.25" thickTop="1" thickBot="1">
      <c r="A19" s="792" t="str">
        <f>Datos!A19</f>
        <v>TOTAL JURISDICCIONES</v>
      </c>
      <c r="B19" s="793">
        <f>Datos!AP19</f>
        <v>11</v>
      </c>
      <c r="C19" s="793">
        <f>Datos!AR19</f>
        <v>11</v>
      </c>
      <c r="D19" s="793">
        <f>SUBTOTAL(9,D8:D18)</f>
        <v>5910</v>
      </c>
      <c r="E19" s="794">
        <f>IF(ISNUMBER(D19/B19),D19/B19," - ")</f>
        <v>537.27272727272725</v>
      </c>
      <c r="F19" s="793">
        <f>SUBTOTAL(9,F8:F18)</f>
        <v>8880</v>
      </c>
      <c r="G19" s="794">
        <f>IF(ISNUMBER(F19/B19),F19/B19," - ")</f>
        <v>807.27272727272725</v>
      </c>
      <c r="H19" s="793">
        <f>SUBTOTAL(9,H8:H18)</f>
        <v>3633</v>
      </c>
      <c r="I19" s="794">
        <f>IF(ISNUMBER(H19/B19),H19/B19," - ")</f>
        <v>330.27272727272725</v>
      </c>
    </row>
    <row r="22" spans="1:78">
      <c r="A22" s="390" t="str">
        <f>Criterios!A4</f>
        <v>Fecha Informe: 18 mar. 2026</v>
      </c>
    </row>
    <row r="27" spans="1:78">
      <c r="A27" s="413"/>
    </row>
  </sheetData>
  <sheetProtection algorithmName="SHA-512" hashValue="puKjleNyibk71ACeUdLA0g6MX8IJEK6nWbObqoFaFpGV0dYkoMVL11t5c+JfQaVs4bx0PbfvsY+4b3gkphDWCw==" saltValue="VgbDAH48/XEgUb2Tt/F3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CADIZ</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2791</v>
      </c>
      <c r="C9" s="433">
        <f>IF(ISNUMBER(Datos!Q9),Datos!Q9," - ")</f>
        <v>2291</v>
      </c>
      <c r="D9" s="407">
        <f>IF(ISNUMBER(Datos!R9),Datos!R9," - ")</f>
        <v>9796</v>
      </c>
    </row>
    <row r="10" spans="1:4">
      <c r="A10" s="401" t="str">
        <f>Datos!A10</f>
        <v>Jdos. Violencia contra la mujer/Secc Viol. TI.</v>
      </c>
      <c r="B10" s="432">
        <f>IF(ISNUMBER(Datos!P10),Datos!P10," - ")</f>
        <v>25</v>
      </c>
      <c r="C10" s="433">
        <f>IF(ISNUMBER(Datos!Q10),Datos!Q10," - ")</f>
        <v>12</v>
      </c>
      <c r="D10" s="407">
        <f>IF(ISNUMBER(Datos!R10),Datos!R10," - ")</f>
        <v>44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2816</v>
      </c>
      <c r="C13" s="852">
        <f>SUBTOTAL(9,C9:C12)</f>
        <v>2303</v>
      </c>
      <c r="D13" s="850">
        <f>SUBTOTAL(9,D9:D12)</f>
        <v>9840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391</v>
      </c>
      <c r="C15" s="433">
        <f>IF(ISNUMBER(Datos!Q15),Datos!Q15," - ")</f>
        <v>438</v>
      </c>
      <c r="D15" s="407">
        <f>IF(ISNUMBER(Datos!R15),Datos!R15," - ")</f>
        <v>207</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45</v>
      </c>
      <c r="C17" s="433">
        <f>IF(ISNUMBER(Datos!Q17),Datos!Q17," - ")</f>
        <v>32</v>
      </c>
      <c r="D17" s="407">
        <f>IF(ISNUMBER(Datos!R17),Datos!R17," - ")</f>
        <v>23</v>
      </c>
    </row>
    <row r="18" spans="1:4" ht="14.25" thickTop="1" thickBot="1">
      <c r="A18" s="847" t="str">
        <f>Datos!A18</f>
        <v>TOTAL</v>
      </c>
      <c r="B18" s="848">
        <f>SUBTOTAL(9,B15:B17)</f>
        <v>436</v>
      </c>
      <c r="C18" s="852">
        <f>SUBTOTAL(9,C15:C17)</f>
        <v>470</v>
      </c>
      <c r="D18" s="850">
        <f>SUBTOTAL(9,D15:D17)</f>
        <v>230</v>
      </c>
    </row>
    <row r="19" spans="1:4" ht="16.5" customHeight="1" thickTop="1" thickBot="1">
      <c r="A19" s="792" t="str">
        <f>Datos!A19</f>
        <v>TOTAL JURISDICCIONES</v>
      </c>
      <c r="B19" s="797">
        <f>SUBTOTAL(9,B8:B18)</f>
        <v>3252</v>
      </c>
      <c r="C19" s="798">
        <f>SUBTOTAL(9,C8:C18)</f>
        <v>2773</v>
      </c>
      <c r="D19" s="799">
        <f>SUBTOTAL(9,D8:D18)</f>
        <v>10070</v>
      </c>
    </row>
    <row r="20" spans="1:4" ht="7.5" customHeight="1"/>
    <row r="21" spans="1:4" ht="6" customHeight="1"/>
    <row r="22" spans="1:4">
      <c r="A22" s="390" t="str">
        <f>Criterios!A4</f>
        <v>Fecha Informe: 18 mar. 2026</v>
      </c>
    </row>
    <row r="27" spans="1:4">
      <c r="A27" s="413"/>
    </row>
  </sheetData>
  <sheetProtection algorithmName="SHA-512" hashValue="uc8BaFYG5GoNT9y7Tnm9f2yWPnBo/GcPujybl0SoDXSDvv6kOhLl1z9fC13rjtr44is7Xa6fB2KAuotDQ2yxDQ==" saltValue="UTew71FBNzNKN21cK79m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CADIZ</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-0.33078593837985681</v>
      </c>
      <c r="C9" s="455">
        <f>IF(ISNUMBER(
   IF(J_V="SI",(Datos!J9-Datos!T9)/Datos!T9,(Datos!J9+Datos!Z9-(Datos!T9+Datos!AH9))/(Datos!T9+Datos!AH9))
     ),IF(J_V="SI",(Datos!J9-Datos!T9)/Datos!T9,(Datos!J9+Datos!Z9-(Datos!T9+Datos!AH9))/(Datos!T9+Datos!AH9))," - ")</f>
        <v>-0.14223529411764707</v>
      </c>
      <c r="D9" s="455">
        <f>IF(ISNUMBER(
   IF(J_V="SI",(Datos!K9-Datos!U9)/Datos!U9,(Datos!K9+Datos!AA9-(Datos!U9+Datos!AI9))/(Datos!U9+Datos!AI9))
     ),IF(J_V="SI",(Datos!K9-Datos!U9)/Datos!U9,(Datos!K9+Datos!AA9-(Datos!U9+Datos!AI9))/(Datos!U9+Datos!AI9))," - ")</f>
        <v>-7.448046550290939E-2</v>
      </c>
      <c r="E9" s="455">
        <f>IF(ISNUMBER(
   IF(J_V="SI",(Datos!L9-Datos!V9)/Datos!V9,(Datos!L9+Datos!AB9-(Datos!V9+Datos!AJ9))/(Datos!V9+Datos!AJ9))
     ),IF(J_V="SI",(Datos!L9-Datos!V9)/Datos!V9,(Datos!L9+Datos!AB9-(Datos!V9+Datos!AJ9))/(Datos!V9+Datos!AJ9))," - ")</f>
        <v>-0.33657891573506432</v>
      </c>
      <c r="F9" s="455">
        <f>IF(ISNUMBER((Datos!M9-Datos!W9)/Datos!W9),(Datos!M9-Datos!W9)/Datos!W9," - ")</f>
        <v>4.3080357142857142E-2</v>
      </c>
      <c r="G9" s="456">
        <f>IF(ISNUMBER((Datos!N9-Datos!X9)/Datos!X9),(Datos!N9-Datos!X9)/Datos!X9," - ")</f>
        <v>-0.13940149625935161</v>
      </c>
      <c r="H9" s="454">
        <f>IF(ISNUMBER(((NºAsuntos!G9/NºAsuntos!E9)-Datos!BD9)/Datos!BD9),((NºAsuntos!G9/NºAsuntos!E9)-Datos!BD9)/Datos!BD9," - ")</f>
        <v>7.8989993584593327E-2</v>
      </c>
      <c r="I9" s="455">
        <f>IF(ISNUMBER(((NºAsuntos!I9/NºAsuntos!G9)-Datos!BE9)/Datos!BE9),((NºAsuntos!I9/NºAsuntos!G9)-Datos!BE9)/Datos!BE9," - ")</f>
        <v>-0.28319061939040985</v>
      </c>
      <c r="J9" s="460">
        <f>IF(ISNUMBER((('Resol  Asuntos'!D9/NºAsuntos!G9)-Datos!BF9)/Datos!BF9),(('Resol  Asuntos'!D9/NºAsuntos!G9)-Datos!BF9)/Datos!BF9," - ")</f>
        <v>0.2591162205855938</v>
      </c>
      <c r="K9" s="461">
        <f>IF(ISNUMBER((((NºAsuntos!C9+NºAsuntos!E9)/NºAsuntos!G9)-Datos!BG9)/Datos!BG9),(((NºAsuntos!C9+NºAsuntos!E9)/NºAsuntos!G9)-Datos!BG9)/Datos!BG9," - ")</f>
        <v>-0.19419986514751089</v>
      </c>
    </row>
    <row r="10" spans="1:11" ht="21">
      <c r="A10" s="401" t="str">
        <f>Datos!A10</f>
        <v>Jdos. Violencia contra la mujer/Secc Viol. TI.</v>
      </c>
      <c r="B10" s="454">
        <f>IF(ISNUMBER((Datos!I10-Datos!S10)/Datos!S10),(Datos!I10-Datos!S10)/Datos!S10," - ")</f>
        <v>0.41935483870967744</v>
      </c>
      <c r="C10" s="455">
        <f>IF(ISNUMBER((Datos!J10-Datos!T10)/Datos!T10),(Datos!J10-Datos!T10)/Datos!T10," - ")</f>
        <v>-7.0422535211267609E-2</v>
      </c>
      <c r="D10" s="455">
        <f>IF(ISNUMBER((Datos!K10-Datos!U10)/Datos!U10),(Datos!K10-Datos!U10)/Datos!U10," - ")</f>
        <v>-5.0847457627118647E-2</v>
      </c>
      <c r="E10" s="455">
        <f>IF(ISNUMBER((Datos!L10-Datos!V10)/Datos!V10),(Datos!L10-Datos!V10)/Datos!V10," - ")</f>
        <v>0.13636363636363635</v>
      </c>
      <c r="F10" s="455">
        <f>IF(ISNUMBER((Datos!M10-Datos!W10)/Datos!W10),(Datos!M10-Datos!W10)/Datos!W10," - ")</f>
        <v>0.27027027027027029</v>
      </c>
      <c r="G10" s="456">
        <f>IF(ISNUMBER((Datos!N10-Datos!X10)/Datos!X10),(Datos!N10-Datos!X10)/Datos!X10," - ")</f>
        <v>-0.19298245614035087</v>
      </c>
      <c r="H10" s="454">
        <f>IF(ISNUMBER(((NºAsuntos!G10/NºAsuntos!E10)-Datos!BD10)/Datos!BD10),((NºAsuntos!G10/NºAsuntos!E10)-Datos!BD10)/Datos!BD10," - ")</f>
        <v>2.1058038007190576E-2</v>
      </c>
      <c r="I10" s="455">
        <f>IF(ISNUMBER(((NºAsuntos!I10/NºAsuntos!G10)-Datos!BE10)/Datos!BE10),((NºAsuntos!I10/NºAsuntos!G10)-Datos!BE10)/Datos!BE10," - ")</f>
        <v>0.1972402597402598</v>
      </c>
      <c r="J10" s="460">
        <f>IF(ISNUMBER((('Resol  Asuntos'!D10/NºAsuntos!G10)-Datos!BF10)/Datos!BF10),(('Resol  Asuntos'!D10/NºAsuntos!G10)-Datos!BF10)/Datos!BF10," - ")</f>
        <v>0.33832046332046334</v>
      </c>
      <c r="K10" s="461">
        <f>IF(ISNUMBER((((NºAsuntos!C10+NºAsuntos!E10)/NºAsuntos!G10)-Datos!BG10)/Datos!BG10),(((NºAsuntos!C10+NºAsuntos!E10)/NºAsuntos!G10)-Datos!BG10)/Datos!BG10," - ")</f>
        <v>0.13620448179271699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-0.32706315536700553</v>
      </c>
      <c r="C13" s="854">
        <f>IF(ISNUMBER(
   IF(J_V="SI",(Datos!J13-Datos!T13)/Datos!T13,(Datos!J13+Datos!Z13-(Datos!T13+Datos!AH13))/(Datos!T13+Datos!AH13))
     ),IF(J_V="SI",(Datos!J13-Datos!T13)/Datos!T13,(Datos!J13+Datos!Z13-(Datos!T13+Datos!AH13))/(Datos!T13+Datos!AH13))," - ")</f>
        <v>-0.14105531127053922</v>
      </c>
      <c r="D13" s="854">
        <f>IF(ISNUMBER(
   IF(J_V="SI",(Datos!K13-Datos!U13)/Datos!U13,(Datos!K13+Datos!AA13-(Datos!U13+Datos!AI13))/(Datos!U13+Datos!AI13))
     ),IF(J_V="SI",(Datos!K13-Datos!U13)/Datos!U13,(Datos!K13+Datos!AA13-(Datos!U13+Datos!AI13))/(Datos!U13+Datos!AI13))," - ")</f>
        <v>-7.4250905498847553E-2</v>
      </c>
      <c r="E13" s="854">
        <f>IF(ISNUMBER(
   IF(J_V="SI",(Datos!L13-Datos!V13)/Datos!V13,(Datos!L13+Datos!AB13-(Datos!V13+Datos!AJ13))/(Datos!V13+Datos!AJ13))
     ),IF(J_V="SI",(Datos!L13-Datos!V13)/Datos!V13,(Datos!L13+Datos!AB13-(Datos!V13+Datos!AJ13))/(Datos!V13+Datos!AJ13))," - ")</f>
        <v>-0.33162840490067802</v>
      </c>
      <c r="F13" s="855">
        <f>IF(ISNUMBER((Datos!M13-Datos!W13)/Datos!W13),(Datos!M13-Datos!W13)/Datos!W13," - ")</f>
        <v>4.4941332742970998E-2</v>
      </c>
      <c r="G13" s="856">
        <f>IF(ISNUMBER((Datos!N13-Datos!X13)/Datos!X13),(Datos!N13-Datos!X13)/Datos!X13," - ")</f>
        <v>-0.14015244652077699</v>
      </c>
      <c r="H13" s="856">
        <f>IF(ISNUMBER(((NºAsuntos!G13/NºAsuntos!E13)-Datos!BD13)/Datos!BD13),((NºAsuntos!G13/NºAsuntos!E13)-Datos!BD13)/Datos!BD13," - ")</f>
        <v>7.7774979749287265E-2</v>
      </c>
      <c r="I13" s="856">
        <f>IF(ISNUMBER(((NºAsuntos!I13/NºAsuntos!G13)-Datos!BE13)/Datos!BE13),((NºAsuntos!I13/NºAsuntos!G13)-Datos!BE13)/Datos!BE13," - ")</f>
        <v>-0.27802079519237388</v>
      </c>
      <c r="J13" s="856">
        <f>IF(ISNUMBER((('Resol  Asuntos'!D13/NºAsuntos!G13)-Datos!BF13)/Datos!BF13),(('Resol  Asuntos'!D13/NºAsuntos!G13)-Datos!BF13)/Datos!BF13," - ")</f>
        <v>0.25984030518870815</v>
      </c>
      <c r="K13" s="856">
        <f>IF(ISNUMBER((((NºAsuntos!C13+NºAsuntos!E13)/NºAsuntos!G13)-Datos!BG13)/Datos!BG13),(((NºAsuntos!C13+NºAsuntos!E13)/NºAsuntos!G13)-Datos!BG13)/Datos!BG13," - ")</f>
        <v>-0.19093136224741217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-6.3868613138686131E-3</v>
      </c>
      <c r="C15" s="455">
        <f>IF(ISNUMBER(
   IF(D_I="SI",(Datos!J15-Datos!T15)/Datos!T15,(Datos!J15+Datos!AD15-(Datos!T15+Datos!AL15))/(Datos!T15+Datos!AL15))
     ),IF(D_I="SI",(Datos!J15-Datos!T15)/Datos!T15,(Datos!J15+Datos!AD15-(Datos!T15+Datos!AL15))/(Datos!T15+Datos!AL15))," - ")</f>
        <v>1.7166693406064495E-2</v>
      </c>
      <c r="D15" s="455">
        <f>IF(ISNUMBER(
   IF(D_I="SI",(Datos!K15-Datos!U15)/Datos!U15,(Datos!K15+Datos!AE15-(Datos!U15+Datos!AM15))/(Datos!U15+Datos!AM15))
     ),IF(D_I="SI",(Datos!K15-Datos!U15)/Datos!U15,(Datos!K15+Datos!AE15-(Datos!U15+Datos!AM15))/(Datos!U15+Datos!AM15))," - ")</f>
        <v>7.6689567023486178E-3</v>
      </c>
      <c r="E15" s="455">
        <f>IF(ISNUMBER(
   IF(D_I="SI",(Datos!L15-Datos!V15)/Datos!V15,(Datos!L15+Datos!AF15-(Datos!V15+Datos!AN15))/(Datos!V15+Datos!AN15))
     ),IF(D_I="SI",(Datos!L15-Datos!V15)/Datos!V15,(Datos!L15+Datos!AF15-(Datos!V15+Datos!AN15))/(Datos!V15+Datos!AN15))," - ")</f>
        <v>4.7750229568411386E-2</v>
      </c>
      <c r="F15" s="455">
        <f>IF(ISNUMBER((Datos!M15-Datos!W15)/Datos!W15),(Datos!M15-Datos!W15)/Datos!W15," - ")</f>
        <v>-9.3901258470474341E-2</v>
      </c>
      <c r="G15" s="456">
        <f>IF(ISNUMBER((Datos!N15-Datos!X15)/Datos!X15),(Datos!N15-Datos!X15)/Datos!X15," - ")</f>
        <v>-3.2648466084998592E-2</v>
      </c>
      <c r="H15" s="454">
        <f>IF(ISNUMBER(((NºAsuntos!G15/NºAsuntos!E15)-Datos!BD15)/Datos!BD15),((NºAsuntos!G15/NºAsuntos!E15)-Datos!BD15)/Datos!BD15," - ")</f>
        <v>-9.3374436710190051E-3</v>
      </c>
      <c r="I15" s="455">
        <f>IF(ISNUMBER(((NºAsuntos!I15/NºAsuntos!G15)-Datos!BE15)/Datos!BE15),((NºAsuntos!I15/NºAsuntos!G15)-Datos!BE15)/Datos!BE15," - ")</f>
        <v>3.9776230675231866E-2</v>
      </c>
      <c r="J15" s="460">
        <f>IF(ISNUMBER((('Resol  Asuntos'!D15/NºAsuntos!G15)-Datos!BF15)/Datos!BF15),(('Resol  Asuntos'!D15/NºAsuntos!G15)-Datos!BF15)/Datos!BF15," - ")</f>
        <v>-0.10079720576608513</v>
      </c>
      <c r="K15" s="461">
        <f>IF(ISNUMBER((((NºAsuntos!C15+NºAsuntos!E15)/NºAsuntos!G15)-Datos!BG15)/Datos!BG15),(((NºAsuntos!C15+NºAsuntos!E15)/NºAsuntos!G15)-Datos!BG15)/Datos!BG15," - ")</f>
        <v>5.9299926923247342E-3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3.1674208144796379E-2</v>
      </c>
      <c r="C17" s="455">
        <f>IF(ISNUMBER(
   IF(D_I="SI",(Datos!J17-Datos!T17)/Datos!T17,(Datos!J17+Datos!AD17-(Datos!T17+Datos!AL17))/(Datos!T17+Datos!AL17))
     ),IF(D_I="SI",(Datos!J17-Datos!T17)/Datos!T17,(Datos!J17+Datos!AD17-(Datos!T17+Datos!AL17))/(Datos!T17+Datos!AL17))," - ")</f>
        <v>0.31445031204992802</v>
      </c>
      <c r="D17" s="455">
        <f>IF(ISNUMBER(
   IF(D_I="SI",(Datos!K17-Datos!U17)/Datos!U17,(Datos!K17+Datos!AE17-(Datos!U17+Datos!AM17))/(Datos!U17+Datos!AM17))
     ),IF(D_I="SI",(Datos!K17-Datos!U17)/Datos!U17,(Datos!K17+Datos!AE17-(Datos!U17+Datos!AM17))/(Datos!U17+Datos!AM17))," - ")</f>
        <v>0.34627016129032256</v>
      </c>
      <c r="E17" s="455">
        <f>IF(ISNUMBER(
   IF(D_I="SI",(Datos!L17-Datos!V17)/Datos!V17,(Datos!L17+Datos!AF17-(Datos!V17+Datos!AN17))/(Datos!V17+Datos!AN17))
     ),IF(D_I="SI",(Datos!L17-Datos!V17)/Datos!V17,(Datos!L17+Datos!AF17-(Datos!V17+Datos!AN17))/(Datos!V17+Datos!AN17))," - ")</f>
        <v>0.30701754385964913</v>
      </c>
      <c r="F17" s="455">
        <f>IF(ISNUMBER((Datos!M17-Datos!W17)/Datos!W17),(Datos!M17-Datos!W17)/Datos!W17," - ")</f>
        <v>0.72789115646258506</v>
      </c>
      <c r="G17" s="456">
        <f>IF(ISNUMBER((Datos!N17-Datos!X17)/Datos!X17),(Datos!N17-Datos!X17)/Datos!X17," - ")</f>
        <v>0.36370007007708477</v>
      </c>
      <c r="H17" s="454">
        <f>IF(ISNUMBER(((NºAsuntos!G17/NºAsuntos!E17)-Datos!BD17)/Datos!BD17),((NºAsuntos!G17/NºAsuntos!E17)-Datos!BD17)/Datos!BD17," - ")</f>
        <v>2.4207723143806363E-2</v>
      </c>
      <c r="I17" s="455">
        <f>IF(ISNUMBER(((NºAsuntos!I17/NºAsuntos!G17)-Datos!BE17)/Datos!BE17),((NºAsuntos!I17/NºAsuntos!G17)-Datos!BE17)/Datos!BE17," - ")</f>
        <v>-2.9156567945509557E-2</v>
      </c>
      <c r="J17" s="460">
        <f>IF(ISNUMBER((('Resol  Asuntos'!D17/NºAsuntos!G17)-Datos!BF17)/Datos!BF17),(('Resol  Asuntos'!D17/NºAsuntos!G17)-Datos!BF17)/Datos!BF17," - ")</f>
        <v>0.28346538915079317</v>
      </c>
      <c r="K17" s="461">
        <f>IF(ISNUMBER((((NºAsuntos!C17+NºAsuntos!E17)/NºAsuntos!G17)-Datos!BG17)/Datos!BG17),(((NºAsuntos!C17+NºAsuntos!E17)/NºAsuntos!G17)-Datos!BG17)/Datos!BG17," - ")</f>
        <v>-4.3783019260368705E-2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v>
      </c>
      <c r="C18" s="854">
        <f>IF(ISNUMBER(
   IF(Criterios!B14="SI",(Datos!J18-Datos!T18)/Datos!T18,(Datos!J18+Datos!AD18-(Datos!T18+Datos!AL18))/(Datos!T18+Datos!AL18))
     ),IF(Criterios!B14="SI",(Datos!J18-Datos!T18)/Datos!T18,(Datos!J18+Datos!AD18-(Datos!T18+Datos!AL18))/(Datos!T18+Datos!AL18))," - ")</f>
        <v>9.1630591630591632E-2</v>
      </c>
      <c r="D18" s="854">
        <f>IF(ISNUMBER(
   IF(Criterios!B14="SI",(Datos!K18-Datos!U18)/Datos!U18,(Datos!K18+Datos!AE18-(Datos!U18+Datos!AM18))/(Datos!U18+Datos!AM18))
     ),IF(Criterios!B14="SI",(Datos!K18-Datos!U18)/Datos!U18,(Datos!K18+Datos!AE18-(Datos!U18+Datos!AM18))/(Datos!U18+Datos!AM18))," - ")</f>
        <v>8.9166565570787337E-2</v>
      </c>
      <c r="E18" s="854">
        <f>IF(ISNUMBER(
   IF(Criterios!B14="SI",(Datos!L18-Datos!V18)/Datos!V18,(Datos!L18+Datos!AF18-(Datos!V18+Datos!AN18))/(Datos!V18+Datos!AN18))
     ),IF(Criterios!B14="SI",(Datos!L18-Datos!V18)/Datos!V18,(Datos!L18+Datos!AF18-(Datos!V18+Datos!AN18))/(Datos!V18+Datos!AN18))," - ")</f>
        <v>9.2634776006074407E-2</v>
      </c>
      <c r="F18" s="855">
        <f>IF(ISNUMBER((Datos!M18-Datos!W18)/Datos!W18),(Datos!M18-Datos!W18)/Datos!W18," - ")</f>
        <v>8.4745762711864406E-3</v>
      </c>
      <c r="G18" s="856">
        <f>IF(ISNUMBER((Datos!N18-Datos!X18)/Datos!X18),(Datos!N18-Datos!X18)/Datos!X18," - ")</f>
        <v>8.092369477911647E-2</v>
      </c>
      <c r="H18" s="856">
        <f>IF(ISNUMBER(((NºAsuntos!G18/NºAsuntos!E18)-Datos!BD18)/Datos!BD18),((NºAsuntos!G18/NºAsuntos!E18)-Datos!BD18)/Datos!BD18," - ")</f>
        <v>-2.257197699199446E-3</v>
      </c>
      <c r="I18" s="856">
        <f>IF(ISNUMBER(((NºAsuntos!I18/NºAsuntos!G18)-Datos!BE18)/Datos!BE18),((NºAsuntos!I18/NºAsuntos!G18)-Datos!BE18)/Datos!BE18," - ")</f>
        <v>3.1842791955971231E-3</v>
      </c>
      <c r="J18" s="856">
        <f>IF(ISNUMBER((('Resol  Asuntos'!D18/NºAsuntos!G18)-Datos!BF18)/Datos!BF18),(('Resol  Asuntos'!D18/NºAsuntos!G18)-Datos!BF18)/Datos!BF18," - ")</f>
        <v>-7.408599552201052E-2</v>
      </c>
      <c r="K18" s="856">
        <f>IF(ISNUMBER((((NºAsuntos!C18+NºAsuntos!E18)/NºAsuntos!G18)-Datos!BG18)/Datos!BG18),(((NºAsuntos!C18+NºAsuntos!E18)/NºAsuntos!G18)-Datos!BG18)/Datos!BG18," - ")</f>
        <v>-9.2396174627774157E-3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-0.29587255611875451</v>
      </c>
      <c r="C19" s="801">
        <f>IF(ISNUMBER(
   IF(J_V="SI",(Datos!J19-Datos!T19)/Datos!T19,(Datos!J19+Datos!Z19-(Datos!T19+Datos!AH19))/(Datos!T19+Datos!AH19))
     ),IF(J_V="SI",(Datos!J19-Datos!T19)/Datos!T19,(Datos!J19+Datos!Z19-(Datos!T19+Datos!AH19))/(Datos!T19+Datos!AH19))," - ")</f>
        <v>-2.6948932657152966E-2</v>
      </c>
      <c r="D19" s="801">
        <f>IF(ISNUMBER(
   IF(J_V="SI",(Datos!K19-Datos!U19)/Datos!U19,(Datos!K19+Datos!AA19-(Datos!U19+Datos!AI19))/(Datos!U19+Datos!AI19))
     ),IF(J_V="SI",(Datos!K19-Datos!U19)/Datos!U19,(Datos!K19+Datos!AA19-(Datos!U19+Datos!AI19))/(Datos!U19+Datos!AI19))," - ")</f>
        <v>-8.1898876955519596E-3</v>
      </c>
      <c r="E19" s="801">
        <f>IF(ISNUMBER(
   IF(J_V="SI",(Datos!L19-Datos!V19)/Datos!V19,(Datos!L19+Datos!AB19-(Datos!V19+Datos!AJ19))/(Datos!V19+Datos!AJ19))
     ),IF(J_V="SI",(Datos!L19-Datos!V19)/Datos!V19,(Datos!L19+Datos!AB19-(Datos!V19+Datos!AJ19))/(Datos!V19+Datos!AJ19))," - ")</f>
        <v>-0.2741670094611271</v>
      </c>
      <c r="F19" s="802">
        <f>IF(ISNUMBER((Datos!M19-Datos!W19)/Datos!W19),(Datos!M19-Datos!W19)/Datos!W19," - ")</f>
        <v>3.7388098999473408E-2</v>
      </c>
      <c r="G19" s="803">
        <f>IF(ISNUMBER((Datos!N19-Datos!X19)/Datos!X19),(Datos!N19-Datos!X19)/Datos!X19," - ")</f>
        <v>-1.8459157731844811E-2</v>
      </c>
      <c r="H19" s="804">
        <f>IF(ISNUMBER((Tasas!B19-Datos!BD19)/Datos!BD19),(Tasas!B19-Datos!BD19)/Datos!BD19," - ")</f>
        <v>1.9278582174342786E-2</v>
      </c>
      <c r="I19" s="805">
        <f>IF(ISNUMBER((Tasas!C19-Datos!BE19)/Datos!BE19),(Tasas!C19-Datos!BE19)/Datos!BE19," - ")</f>
        <v>-0.26817343205705307</v>
      </c>
      <c r="J19" s="806">
        <f>IF(ISNUMBER((Tasas!D19-Datos!BF19)/Datos!BF19),(Tasas!D19-Datos!BF19)/Datos!BF19," - ")</f>
        <v>0.14000419332555156</v>
      </c>
      <c r="K19" s="806">
        <f>IF(ISNUMBER((Tasas!E19-Datos!BG19)/Datos!BG19),(Tasas!E19-Datos!BG19)/Datos!BG19," - ")</f>
        <v>-0.14061514065091874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3rnC0JrSEj8aoRuhSPW9sKOdGTcWgxxaIyEXlXYNFzVFwgV+f5K7JSFeHvqZfA2dS+08Gjatrlo0U714zue+nA==" saltValue="C+SrjDlw2q1YHP664MG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CADIZ</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1.5270881909203127</v>
      </c>
      <c r="C9" s="442">
        <f>IF(ISNUMBER(NºAsuntos!I9/NºAsuntos!G9),NºAsuntos!I9/NºAsuntos!G9," - ")</f>
        <v>0.49568888090533503</v>
      </c>
      <c r="D9" s="443">
        <f>IF(ISNUMBER('Resol  Asuntos'!D9/NºAsuntos!G9),'Resol  Asuntos'!D9/NºAsuntos!G9," - ")</f>
        <v>0.41970540686186458</v>
      </c>
      <c r="E9" s="444">
        <f>IF(ISNUMBER((NºAsuntos!C9+NºAsuntos!E9)/NºAsuntos!G9),(NºAsuntos!C9+NºAsuntos!E9)/NºAsuntos!G9," - ")</f>
        <v>1.4020118555775103</v>
      </c>
      <c r="G9" s="462"/>
    </row>
    <row r="10" spans="1:7" ht="21">
      <c r="A10" s="401" t="str">
        <f>Datos!A10</f>
        <v>Jdos. Violencia contra la mujer/Secc Viol. TI.</v>
      </c>
      <c r="B10" s="441">
        <f>IF(ISNUMBER(NºAsuntos!G10/NºAsuntos!E10),NºAsuntos!G10/NºAsuntos!E10," - ")</f>
        <v>0.84848484848484851</v>
      </c>
      <c r="C10" s="442">
        <f>IF(ISNUMBER(NºAsuntos!I10/NºAsuntos!G10),NºAsuntos!I10/NºAsuntos!G10," - ")</f>
        <v>0.8928571428571429</v>
      </c>
      <c r="D10" s="443">
        <f>IF(ISNUMBER('Resol  Asuntos'!D10/NºAsuntos!G10),'Resol  Asuntos'!D10/NºAsuntos!G10," - ")</f>
        <v>0.41964285714285715</v>
      </c>
      <c r="E10" s="444">
        <f>IF(ISNUMBER((NºAsuntos!C10+NºAsuntos!E10)/NºAsuntos!G10),(NºAsuntos!C10+NºAsuntos!E10)/NºAsuntos!G10," - ")</f>
        <v>1.9642857142857142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1.5150208810453993</v>
      </c>
      <c r="C13" s="858">
        <f>IF(ISNUMBER(NºAsuntos!I13/NºAsuntos!G13),NºAsuntos!I13/NºAsuntos!G13," - ")</f>
        <v>0.49964431797972614</v>
      </c>
      <c r="D13" s="859">
        <f>IF(ISNUMBER('Resol  Asuntos'!D13/NºAsuntos!G13),'Resol  Asuntos'!D13/NºAsuntos!G13," - ")</f>
        <v>0.41970478392317268</v>
      </c>
      <c r="E13" s="860">
        <f>IF(ISNUMBER((NºAsuntos!C13+NºAsuntos!E13)/NºAsuntos!G13),(NºAsuntos!C13+NºAsuntos!E13)/NºAsuntos!G13," - ")</f>
        <v>1.407611595233861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0.99479495268138807</v>
      </c>
      <c r="C15" s="442">
        <f>IF(ISNUMBER(NºAsuntos!I15/NºAsuntos!G15),NºAsuntos!I15/NºAsuntos!G15," - ")</f>
        <v>0.18091009988901222</v>
      </c>
      <c r="D15" s="443">
        <f>IF(ISNUMBER('Resol  Asuntos'!D15/NºAsuntos!G15),'Resol  Asuntos'!D15/NºAsuntos!G15," - ")</f>
        <v>0.14840653242429047</v>
      </c>
      <c r="E15" s="444">
        <f>IF(ISNUMBER((NºAsuntos!C15+NºAsuntos!E15)/NºAsuntos!G15),(NºAsuntos!C15+NºAsuntos!E15)/NºAsuntos!G15," - ")</f>
        <v>1.1778975741239892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0.97552958363769171</v>
      </c>
      <c r="C17" s="442">
        <f>IF(ISNUMBER(NºAsuntos!I17/NºAsuntos!G17),NºAsuntos!I17/NºAsuntos!G17," - ")</f>
        <v>0.11156870086110071</v>
      </c>
      <c r="D17" s="443">
        <f>IF(ISNUMBER('Resol  Asuntos'!D17/NºAsuntos!G17),'Resol  Asuntos'!D17/NºAsuntos!G17," - ")</f>
        <v>9.5095469861475102E-2</v>
      </c>
      <c r="E17" s="444">
        <f>IF(ISNUMBER((NºAsuntos!C17+NºAsuntos!E17)/NºAsuntos!G17),(NºAsuntos!C17+NºAsuntos!E17)/NºAsuntos!G17," - ")</f>
        <v>1.1104455260202171</v>
      </c>
      <c r="G17" s="462"/>
    </row>
    <row r="18" spans="1:7" ht="14.25" thickTop="1" thickBot="1">
      <c r="A18" s="847" t="str">
        <f>Datos!A18</f>
        <v>TOTAL</v>
      </c>
      <c r="B18" s="857">
        <f>IF(ISNUMBER(NºAsuntos!G18/NºAsuntos!E18),NºAsuntos!G18/NºAsuntos!E18," - ")</f>
        <v>0.98898435778805904</v>
      </c>
      <c r="C18" s="858">
        <f>IF(ISNUMBER(NºAsuntos!I18/NºAsuntos!G18),NºAsuntos!I18/NºAsuntos!G18," - ")</f>
        <v>0.16028068612163066</v>
      </c>
      <c r="D18" s="861">
        <f>IF(ISNUMBER('Resol  Asuntos'!D18/NºAsuntos!G18),'Resol  Asuntos'!D18/NºAsuntos!G18," - ")</f>
        <v>0.13254622410336378</v>
      </c>
      <c r="E18" s="860">
        <f>IF(ISNUMBER((NºAsuntos!C18+NºAsuntos!E18)/NºAsuntos!G18),(NºAsuntos!C18+NºAsuntos!E18)/NºAsuntos!G18," - ")</f>
        <v>1.1578302517264425</v>
      </c>
      <c r="G18" s="462"/>
    </row>
    <row r="19" spans="1:7" ht="15.75" customHeight="1" thickTop="1" thickBot="1">
      <c r="A19" s="792" t="str">
        <f>Datos!A19</f>
        <v>TOTAL JURISDICCIONES</v>
      </c>
      <c r="B19" s="807">
        <f>IF(ISNUMBER(NºAsuntos!G19/NºAsuntos!E19),NºAsuntos!G19/NºAsuntos!E19," - ")</f>
        <v>1.2256226895339677</v>
      </c>
      <c r="C19" s="808">
        <f>IF(ISNUMBER(NºAsuntos!I19/NºAsuntos!G19),NºAsuntos!I19/NºAsuntos!G19," - ")</f>
        <v>0.34899129746835444</v>
      </c>
      <c r="D19" s="809">
        <f>IF(ISNUMBER('Resol  Asuntos'!D19/NºAsuntos!G19),'Resol  Asuntos'!D19/NºAsuntos!G19," - ")</f>
        <v>0.29222705696202533</v>
      </c>
      <c r="E19" s="810">
        <f>IF(ISNUMBER((NºAsuntos!C19+NºAsuntos!E19)/NºAsuntos!G19),(NºAsuntos!C19+NºAsuntos!E19)/NºAsuntos!G19," - ")</f>
        <v>1.2967266613924051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ng1IWQF2Hr9GN+X6V0clVM/ocYlkRKo1v0swciW3Iq/PmxbFocDEoSETrWzMOHdajeHNWCukIozkqeHeOttbA==" saltValue="Dp9BLMh/Pf833skE1Zcc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CADIZ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2791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2291</v>
      </c>
      <c r="Y9" s="333">
        <f>SUM(W9:X9)</f>
        <v>2291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9796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4673</v>
      </c>
      <c r="AJ9" s="228" t="str">
        <f>IF(ISNUMBER(Datos!BW9),Datos!BW9," - ")</f>
        <v xml:space="preserve"> - </v>
      </c>
      <c r="AK9" s="227" t="str">
        <f>IF(ISNUMBER(Datos!BX9),Datos!BX9," - ")</f>
        <v xml:space="preserve"> - </v>
      </c>
      <c r="AL9" s="242">
        <f>IF(ISNUMBER(NºAsuntos!G9/NºAsuntos!E9),NºAsuntos!G9/NºAsuntos!E9," - ")</f>
        <v>1.5270881909203127</v>
      </c>
      <c r="AM9" s="259">
        <f>IF(ISNUMBER(((NºAsuntos!I9/NºAsuntos!G9)*11)/factor_trimestre),((NºAsuntos!I9/NºAsuntos!G9)*11)/factor_trimestre," - ")</f>
        <v>5.4525776899586855</v>
      </c>
      <c r="AN9" s="243">
        <f>IF(ISNUMBER('Resol  Asuntos'!D9/NºAsuntos!G9),'Resol  Asuntos'!D9/NºAsuntos!G9," - ")</f>
        <v>0.41970540686186458</v>
      </c>
      <c r="AO9" s="244">
        <f>IF(ISNUMBER((NºAsuntos!C9+NºAsuntos!E9)/NºAsuntos!G9),(NºAsuntos!C9+NºAsuntos!E9)/NºAsuntos!G9," - ")</f>
        <v>1.4020118555775103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80</v>
      </c>
      <c r="G10" s="332">
        <f>IF(ISNUMBER(Datos!I10),Datos!I10," - ")</f>
        <v>88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112</v>
      </c>
      <c r="X10" s="225">
        <f>IF(ISNUMBER(Datos!Q10),Datos!Q10," - ")</f>
        <v>12</v>
      </c>
      <c r="Y10" s="333">
        <f t="shared" ref="Y10:Y12" si="0">SUM(W10:X10)</f>
        <v>124</v>
      </c>
      <c r="Z10" s="334" t="str">
        <f>IF(ISNUMBER(Datos!CC10),Datos!CC10," - ")</f>
        <v xml:space="preserve"> - </v>
      </c>
      <c r="AA10" s="331">
        <f>IF(ISNUMBER(Datos!L10),Datos!L10,"-")</f>
        <v>100</v>
      </c>
      <c r="AB10" s="333">
        <f>IF(ISNUMBER(Datos!R10),Datos!R10," - ")</f>
        <v>44</v>
      </c>
      <c r="AC10" s="333">
        <f t="shared" ref="AC10:AC12" si="1">IF(ISNUMBER(AA10+AB10),AA10+AB10," - ")</f>
        <v>144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47</v>
      </c>
      <c r="AJ10" s="230" t="str">
        <f>IF(ISNUMBER(Datos!BW10),Datos!BW10," - ")</f>
        <v xml:space="preserve"> - </v>
      </c>
      <c r="AK10" s="231" t="str">
        <f>IF(ISNUMBER(Datos!BX10),Datos!BX10," - ")</f>
        <v xml:space="preserve"> - </v>
      </c>
      <c r="AL10" s="242">
        <f>IF(ISNUMBER(NºAsuntos!G10/NºAsuntos!E10),NºAsuntos!G10/NºAsuntos!E10," - ")</f>
        <v>0.84848484848484851</v>
      </c>
      <c r="AM10" s="259">
        <f>IF(ISNUMBER(((NºAsuntos!I10/NºAsuntos!G10)*11)/factor_trimestre),((NºAsuntos!I10/NºAsuntos!G10)*11)/factor_trimestre," - ")</f>
        <v>9.8214285714285712</v>
      </c>
      <c r="AN10" s="243">
        <f>IF(ISNUMBER('Resol  Asuntos'!D10/NºAsuntos!G10),'Resol  Asuntos'!D10/NºAsuntos!G10," - ")</f>
        <v>0.41964285714285715</v>
      </c>
      <c r="AO10" s="244">
        <f>IF(ISNUMBER((NºAsuntos!C10+NºAsuntos!E10)/NºAsuntos!G10),(NºAsuntos!C10+NºAsuntos!E10)/NºAsuntos!G10," - ")</f>
        <v>1.9642857142857142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80</v>
      </c>
      <c r="G13" s="865">
        <f t="shared" si="3"/>
        <v>88</v>
      </c>
      <c r="H13" s="864">
        <f t="shared" si="3"/>
        <v>0</v>
      </c>
      <c r="I13" s="866">
        <f t="shared" si="3"/>
        <v>0</v>
      </c>
      <c r="J13" s="866">
        <f t="shared" si="3"/>
        <v>0</v>
      </c>
      <c r="K13" s="866">
        <f t="shared" si="3"/>
        <v>0</v>
      </c>
      <c r="L13" s="866">
        <f t="shared" si="3"/>
        <v>2816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112</v>
      </c>
      <c r="X13" s="866">
        <f t="shared" si="4"/>
        <v>2303</v>
      </c>
      <c r="Y13" s="867">
        <f t="shared" si="4"/>
        <v>2415</v>
      </c>
      <c r="Z13" s="867">
        <f t="shared" si="4"/>
        <v>0</v>
      </c>
      <c r="AA13" s="867">
        <f t="shared" si="4"/>
        <v>100</v>
      </c>
      <c r="AB13" s="867">
        <f t="shared" si="4"/>
        <v>9840</v>
      </c>
      <c r="AC13" s="867">
        <f t="shared" si="4"/>
        <v>144</v>
      </c>
      <c r="AD13" s="867">
        <f t="shared" si="4"/>
        <v>0</v>
      </c>
      <c r="AE13" s="871">
        <f t="shared" si="4"/>
        <v>0</v>
      </c>
      <c r="AF13" s="864">
        <f t="shared" si="4"/>
        <v>0</v>
      </c>
      <c r="AG13" s="872">
        <f t="shared" si="4"/>
        <v>0</v>
      </c>
      <c r="AH13" s="869">
        <f t="shared" si="4"/>
        <v>0</v>
      </c>
      <c r="AI13" s="864">
        <f t="shared" si="4"/>
        <v>4720</v>
      </c>
      <c r="AJ13" s="866">
        <f t="shared" si="4"/>
        <v>0</v>
      </c>
      <c r="AK13" s="869">
        <f>SUBTOTAL(9,AK9:AK12)</f>
        <v>0</v>
      </c>
      <c r="AL13" s="873">
        <f>IF(ISNUMBER(NºAsuntos!G13/NºAsuntos!E13),NºAsuntos!G13/NºAsuntos!E13," - ")</f>
        <v>1.5150208810453993</v>
      </c>
      <c r="AM13" s="873">
        <f>IF(ISNUMBER(((NºAsuntos!I13/NºAsuntos!G13)*11)/factor_trimestre),((NºAsuntos!I13/NºAsuntos!G13)*11)/factor_trimestre," - ")</f>
        <v>5.4960874977769878</v>
      </c>
      <c r="AN13" s="874">
        <f>IF(ISNUMBER('Resol  Asuntos'!D13/NºAsuntos!G13),'Resol  Asuntos'!D13/NºAsuntos!G13," - ")</f>
        <v>0.41970478392317268</v>
      </c>
      <c r="AO13" s="875">
        <f>IF(ISNUMBER((NºAsuntos!C13+NºAsuntos!E13)/NºAsuntos!G13),(NºAsuntos!C13+NºAsuntos!E13)/NºAsuntos!G13," - ")</f>
        <v>1.407611595233861</v>
      </c>
      <c r="AP13" s="876" t="str">
        <f t="shared" si="2"/>
        <v xml:space="preserve"> - </v>
      </c>
      <c r="AQ13" s="876">
        <f>IF(ISNUMBER((H13-W13+K13)/(F13)),(H13-W13+K13)/(F13)," - ")</f>
        <v>-1.4</v>
      </c>
      <c r="AR13" s="877">
        <f>IF(ISNUMBER((Datos!P13-Datos!Q13)/(Datos!R13-Datos!P13+Datos!Q13)),(Datos!P13-Datos!Q13)/(Datos!R13-Datos!P13+Datos!Q13)," - ")</f>
        <v>5.5001608234158894E-2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1108</v>
      </c>
      <c r="G15" s="332">
        <f>IF(ISNUMBER(IF(D_I="SI",Datos!I15,Datos!I15+Datos!AC15)),IF(D_I="SI",Datos!I15,Datos!I15+Datos!AC15)," - ")</f>
        <v>1089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391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6307</v>
      </c>
      <c r="X15" s="225">
        <f>IF(ISNUMBER(Datos!Q15),Datos!Q15," - ")</f>
        <v>438</v>
      </c>
      <c r="Y15" s="333">
        <f>SUM(W15)</f>
        <v>6307</v>
      </c>
      <c r="Z15" s="334" t="str">
        <f>IF(ISNUMBER(Datos!CC15),Datos!CC15," - ")</f>
        <v xml:space="preserve"> - </v>
      </c>
      <c r="AA15" s="331">
        <f>IF(ISNUMBER(IF(D_I="SI",Datos!L15,Datos!L15+Datos!AF15)),IF(D_I="SI",Datos!L15,Datos!L15+Datos!AF15)," - ")</f>
        <v>1141</v>
      </c>
      <c r="AB15" s="333">
        <f>IF(ISNUMBER(Datos!R15),Datos!R15," - ")</f>
        <v>207</v>
      </c>
      <c r="AC15" s="333">
        <f t="shared" ref="AC15:AC17" si="6">IF(ISNUMBER(AA15+AB15),AA15+AB15," - ")</f>
        <v>1348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936</v>
      </c>
      <c r="AJ15" s="230" t="str">
        <f>IF(ISNUMBER(Datos!BW15),Datos!BW15," - ")</f>
        <v xml:space="preserve"> - </v>
      </c>
      <c r="AK15" s="231" t="str">
        <f>IF(ISNUMBER(Datos!BX15),Datos!BX15," - ")</f>
        <v xml:space="preserve"> - </v>
      </c>
      <c r="AL15" s="242">
        <f>IF(ISNUMBER(NºAsuntos!G15/NºAsuntos!E15),NºAsuntos!G15/NºAsuntos!E15," - ")</f>
        <v>0.99479495268138807</v>
      </c>
      <c r="AM15" s="259">
        <f>IF(ISNUMBER(((NºAsuntos!I15/NºAsuntos!G15)*11)/factor_trimestre),((NºAsuntos!I15/NºAsuntos!G15)*11)/factor_trimestre," - ")</f>
        <v>1.9900110987791344</v>
      </c>
      <c r="AN15" s="243">
        <f>IF(ISNUMBER('Resol  Asuntos'!D15/NºAsuntos!G15),'Resol  Asuntos'!D15/NºAsuntos!G15," - ")</f>
        <v>0.14840653242429047</v>
      </c>
      <c r="AO15" s="244">
        <f>IF(ISNUMBER((NºAsuntos!C15+NºAsuntos!E15)/NºAsuntos!G15),(NºAsuntos!C15+NºAsuntos!E15)/NºAsuntos!G15," - ")</f>
        <v>1.1778975741239892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228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2671</v>
      </c>
      <c r="X17" s="225">
        <f>IF(ISNUMBER(Datos!Q17),Datos!Q17," - ")</f>
        <v>32</v>
      </c>
      <c r="Y17" s="333">
        <f t="shared" si="7"/>
        <v>2703</v>
      </c>
      <c r="Z17" s="334" t="str">
        <f>IF(ISNUMBER(Datos!CC17),Datos!CC17," - ")</f>
        <v xml:space="preserve"> - </v>
      </c>
      <c r="AA17" s="331">
        <f>IF(ISNUMBER(Datos!L17),Datos!L17,"-")</f>
        <v>298</v>
      </c>
      <c r="AB17" s="333">
        <f>IF(ISNUMBER(Datos!R17),Datos!R17," - ")</f>
        <v>23</v>
      </c>
      <c r="AC17" s="333">
        <f t="shared" si="6"/>
        <v>321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254</v>
      </c>
      <c r="AJ17" s="230" t="str">
        <f>IF(ISNUMBER(Datos!BW17),Datos!BW17," - ")</f>
        <v xml:space="preserve"> - </v>
      </c>
      <c r="AK17" s="231" t="str">
        <f>IF(ISNUMBER(Datos!BX17),Datos!BX17," - ")</f>
        <v xml:space="preserve"> - </v>
      </c>
      <c r="AL17" s="242">
        <f>IF(ISNUMBER(NºAsuntos!G17/NºAsuntos!E17),NºAsuntos!G17/NºAsuntos!E17," - ")</f>
        <v>0.97552958363769171</v>
      </c>
      <c r="AM17" s="259">
        <f>IF(ISNUMBER(((NºAsuntos!I17/NºAsuntos!G17)*11)/factor_trimestre),((NºAsuntos!I17/NºAsuntos!G17)*11)/factor_trimestre," - ")</f>
        <v>1.2272557094721077</v>
      </c>
      <c r="AN17" s="243">
        <f>IF(ISNUMBER('Resol  Asuntos'!D17/NºAsuntos!G17),'Resol  Asuntos'!D17/NºAsuntos!G17," - ")</f>
        <v>9.5095469861475102E-2</v>
      </c>
      <c r="AO17" s="244">
        <f>IF(ISNUMBER((NºAsuntos!C17+NºAsuntos!E17)/NºAsuntos!G17),(NºAsuntos!C17+NºAsuntos!E17)/NºAsuntos!G17," - ")</f>
        <v>1.1104455260202171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1108</v>
      </c>
      <c r="G18" s="865">
        <f>SUBTOTAL(9,G15:G17)</f>
        <v>1317</v>
      </c>
      <c r="H18" s="864">
        <f t="shared" ref="H18:O18" si="10">SUBTOTAL(9,H14:H17)</f>
        <v>0</v>
      </c>
      <c r="I18" s="866">
        <f t="shared" si="10"/>
        <v>0</v>
      </c>
      <c r="J18" s="866">
        <f t="shared" si="10"/>
        <v>0</v>
      </c>
      <c r="K18" s="866">
        <f t="shared" si="10"/>
        <v>0</v>
      </c>
      <c r="L18" s="866">
        <f t="shared" si="10"/>
        <v>436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8978</v>
      </c>
      <c r="X18" s="866">
        <f t="shared" si="11"/>
        <v>470</v>
      </c>
      <c r="Y18" s="867">
        <f t="shared" si="11"/>
        <v>9010</v>
      </c>
      <c r="Z18" s="867">
        <f t="shared" si="11"/>
        <v>0</v>
      </c>
      <c r="AA18" s="867">
        <f t="shared" si="11"/>
        <v>1439</v>
      </c>
      <c r="AB18" s="867">
        <f t="shared" si="11"/>
        <v>230</v>
      </c>
      <c r="AC18" s="867">
        <f t="shared" si="11"/>
        <v>1669</v>
      </c>
      <c r="AD18" s="867">
        <f t="shared" si="11"/>
        <v>0</v>
      </c>
      <c r="AE18" s="871">
        <f t="shared" si="11"/>
        <v>0</v>
      </c>
      <c r="AF18" s="864">
        <f t="shared" si="11"/>
        <v>0</v>
      </c>
      <c r="AG18" s="872">
        <f t="shared" si="11"/>
        <v>0</v>
      </c>
      <c r="AH18" s="869">
        <f t="shared" si="11"/>
        <v>0</v>
      </c>
      <c r="AI18" s="864">
        <f t="shared" si="11"/>
        <v>1190</v>
      </c>
      <c r="AJ18" s="866">
        <f t="shared" si="11"/>
        <v>0</v>
      </c>
      <c r="AK18" s="869">
        <f t="shared" si="11"/>
        <v>0</v>
      </c>
      <c r="AL18" s="873">
        <f>IF(ISNUMBER(NºAsuntos!G18/NºAsuntos!E18),NºAsuntos!G18/NºAsuntos!E18," - ")</f>
        <v>0.98898435778805904</v>
      </c>
      <c r="AM18" s="873">
        <f>IF(ISNUMBER(((NºAsuntos!I18/NºAsuntos!G18)*11)/factor_trimestre),((NºAsuntos!I18/NºAsuntos!G18)*11)/factor_trimestre," - ")</f>
        <v>1.7630875473379373</v>
      </c>
      <c r="AN18" s="874">
        <f>IF(ISNUMBER('Resol  Asuntos'!D18/NºAsuntos!G18),'Resol  Asuntos'!D18/NºAsuntos!G18," - ")</f>
        <v>0.13254622410336378</v>
      </c>
      <c r="AO18" s="875">
        <f>IF(ISNUMBER((NºAsuntos!C18+NºAsuntos!E18)/NºAsuntos!G18),(NºAsuntos!C18+NºAsuntos!E18)/NºAsuntos!G18," - ")</f>
        <v>1.1578302517264425</v>
      </c>
      <c r="AP18" s="876" t="str">
        <f t="shared" si="2"/>
        <v xml:space="preserve"> - </v>
      </c>
      <c r="AQ18" s="876">
        <f>IF(ISNUMBER((H18-W18+K18)/(F18)),(H18-W18+K18)/(F18)," - ")</f>
        <v>-8.102888086642599</v>
      </c>
      <c r="AR18" s="877">
        <f>IF(ISNUMBER((Datos!P18-Datos!Q18)/(Datos!R18-Datos!P18+Datos!Q18)),(Datos!P18-Datos!Q18)/(Datos!R18-Datos!P18+Datos!Q18)," - ")</f>
        <v>-0.12878787878787878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1188</v>
      </c>
      <c r="G19" s="820">
        <f t="shared" si="13"/>
        <v>1405</v>
      </c>
      <c r="H19" s="819">
        <f t="shared" si="13"/>
        <v>0</v>
      </c>
      <c r="I19" s="821">
        <f t="shared" si="13"/>
        <v>0</v>
      </c>
      <c r="J19" s="821">
        <f t="shared" si="13"/>
        <v>0</v>
      </c>
      <c r="K19" s="880">
        <f t="shared" si="13"/>
        <v>0</v>
      </c>
      <c r="L19" s="821">
        <f t="shared" si="13"/>
        <v>3252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9090</v>
      </c>
      <c r="X19" s="820">
        <f t="shared" si="14"/>
        <v>2773</v>
      </c>
      <c r="Y19" s="827">
        <f t="shared" si="14"/>
        <v>11425</v>
      </c>
      <c r="Z19" s="827">
        <f t="shared" si="14"/>
        <v>0</v>
      </c>
      <c r="AA19" s="827">
        <f t="shared" si="14"/>
        <v>1539</v>
      </c>
      <c r="AB19" s="827">
        <f t="shared" si="14"/>
        <v>10070</v>
      </c>
      <c r="AC19" s="827">
        <f t="shared" si="14"/>
        <v>1813</v>
      </c>
      <c r="AD19" s="827">
        <f t="shared" si="14"/>
        <v>0</v>
      </c>
      <c r="AE19" s="829">
        <f t="shared" si="14"/>
        <v>0</v>
      </c>
      <c r="AF19" s="830">
        <f t="shared" si="14"/>
        <v>0</v>
      </c>
      <c r="AG19" s="831">
        <f t="shared" si="14"/>
        <v>0</v>
      </c>
      <c r="AH19" s="829">
        <f t="shared" si="14"/>
        <v>0</v>
      </c>
      <c r="AI19" s="819">
        <f t="shared" si="14"/>
        <v>5910</v>
      </c>
      <c r="AJ19" s="819">
        <f t="shared" si="14"/>
        <v>0</v>
      </c>
      <c r="AK19" s="829">
        <f t="shared" si="14"/>
        <v>0</v>
      </c>
      <c r="AL19" s="883">
        <f>IF(ISNUMBER(NºAsuntos!G19/NºAsuntos!E19),NºAsuntos!G19/NºAsuntos!E19," - ")</f>
        <v>1.2256226895339677</v>
      </c>
      <c r="AM19" s="884">
        <f>IF(ISNUMBER(((NºAsuntos!I19/NºAsuntos!G19)*11)/factor_trimestre),((NºAsuntos!I19/NºAsuntos!G19)*11)/factor_trimestre," - ")</f>
        <v>3.8389042721518987</v>
      </c>
      <c r="AN19" s="884">
        <f>IF(ISNUMBER('Resol  Asuntos'!D19/NºAsuntos!G19),'Resol  Asuntos'!D19/NºAsuntos!G19," - ")</f>
        <v>0.29222705696202533</v>
      </c>
      <c r="AO19" s="885">
        <f>IF(ISNUMBER((NºAsuntos!C19+NºAsuntos!E19)/NºAsuntos!G19),(NºAsuntos!C19+NºAsuntos!E19)/NºAsuntos!G19," - ")</f>
        <v>1.2967266613924051</v>
      </c>
      <c r="AP19" s="886" t="str">
        <f t="shared" si="2"/>
        <v xml:space="preserve"> - </v>
      </c>
      <c r="AQ19" s="887">
        <f>IF(OR(ISNUMBER(FIND("01",Criterios!A8,1)),ISNUMBER(FIND("02",Criterios!A8,1)),ISNUMBER(FIND("03",Criterios!A8,1)),ISNUMBER(FIND("04",Criterios!A8,1))),(I19-W19+K19)/(F19-K19),(H19-W19+K19)/(F19-K19))</f>
        <v>-7.6515151515151514</v>
      </c>
      <c r="AR19" s="888">
        <f>IF(ISNUMBER((Datos!P19-Datos!Q19)/(Datos!R19-Datos!P19+Datos!Q19)),(Datos!P19-Datos!Q19)/(Datos!R19-Datos!P19+Datos!Q19)," - ")</f>
        <v>4.994265457199458E-2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562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2.8284271247461903</v>
      </c>
      <c r="F21" s="251">
        <f>IF(ISNUMBER(STDEV(F8:F18)),STDEV(F8:F18),"-")</f>
        <v>593.51607672693524</v>
      </c>
      <c r="G21" s="252">
        <f>IF(ISNUMBER(STDEV(G8:G18)),STDEV(G8:G18),"-")</f>
        <v>593.43533767378563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3919.1702565721739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2153.548234890503</v>
      </c>
      <c r="AJ21" s="251">
        <f t="shared" si="18"/>
        <v>0</v>
      </c>
      <c r="AK21" s="253">
        <f t="shared" si="18"/>
        <v>0</v>
      </c>
      <c r="AL21" s="248">
        <f t="shared" si="18"/>
        <v>0.29879204000824605</v>
      </c>
      <c r="AM21" s="249">
        <f t="shared" si="18"/>
        <v>3.3002592583846679</v>
      </c>
      <c r="AN21" s="249">
        <f t="shared" si="18"/>
        <v>0.16214087351087267</v>
      </c>
      <c r="AO21" s="250">
        <f t="shared" si="18"/>
        <v>0.3177743756616086</v>
      </c>
      <c r="AP21" s="290" t="str">
        <f t="shared" si="18"/>
        <v>-</v>
      </c>
      <c r="AQ21" s="291">
        <f t="shared" si="18"/>
        <v>4.7396576195995035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b6Ea27rvvvFdhzSi8kWuCpNY0zVVR9shNnKC1Ov4jK5dzvaf0nUHJd5GPvJWhlnReijFFay2mZ5hqeYJPRcjeQ==" saltValue="y2qyc4Yay1OD7IbAzPYG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CADIZ</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4.3080357142857142E-2</v>
      </c>
      <c r="I9" s="349">
        <f>IF(ISNUMBER((Tasas!C9-Datos!BE9)/Datos!BE9),(Tasas!C9-Datos!BE9)/Datos!BE9," - ")</f>
        <v>-0.28319061939040985</v>
      </c>
      <c r="J9" s="348">
        <f>IF(ISNUMBER((Tasas!D9-Datos!BF9)/Datos!BF9),(Tasas!D9-Datos!BF9)/Datos!BF9," - ")</f>
        <v>0.2591162205855938</v>
      </c>
      <c r="K9" s="350">
        <f>IF(ISNUMBER((Tasas!E9-Datos!BG9)/Datos!BG9),(Tasas!E9-Datos!BG9)/Datos!BG9," - ")</f>
        <v>-0.19419986514751089</v>
      </c>
      <c r="M9" t="e">
        <f>IF(Monitorios="SI",Datos!CE9,0)</f>
        <v>#REF!</v>
      </c>
      <c r="N9" t="e">
        <f>IF(Monitorios="SI",Datos!CF9,0)</f>
        <v>#REF!</v>
      </c>
      <c r="O9" t="e">
        <f>IF(Monitorios="SI",Datos!CG9,0)</f>
        <v>#REF!</v>
      </c>
      <c r="P9" t="e">
        <f>IF(Monitorios="SI",Datos!CH9,0)</f>
        <v>#REF!</v>
      </c>
      <c r="Q9">
        <f>IF(J_V="SI",0,Datos!AG9)</f>
        <v>329</v>
      </c>
      <c r="R9">
        <f>IF(J_V="SI",0,Datos!AH9)</f>
        <v>522</v>
      </c>
      <c r="S9">
        <f>IF(J_V="SI",0,Datos!AI9)</f>
        <v>553</v>
      </c>
      <c r="T9">
        <f>IF(J_V="SI",0,Datos!AJ9)</f>
        <v>298</v>
      </c>
    </row>
    <row r="10" spans="2:20" ht="14.25">
      <c r="B10" s="274" t="s">
        <v>246</v>
      </c>
      <c r="C10" s="7" t="str">
        <f>Datos!A10</f>
        <v>Jdos. Violencia contra la mujer/Secc Viol. TI.</v>
      </c>
      <c r="D10" s="351">
        <f>IF(ISNUMBER((Datos!I10-Datos!S10)/Datos!S10),(Datos!I10-Datos!S10)/Datos!S10," - ")</f>
        <v>0.41935483870967744</v>
      </c>
      <c r="E10" s="347">
        <f>IF(ISNUMBER((Datos!J10-Datos!T10)/Datos!T10),(Datos!J10-Datos!T10)/Datos!T10," - ")</f>
        <v>-7.0422535211267609E-2</v>
      </c>
      <c r="F10" s="347">
        <f>IF(ISNUMBER((Datos!K10-Datos!U10)/Datos!U10),(Datos!K10-Datos!U10)/Datos!U10," - ")</f>
        <v>-5.0847457627118647E-2</v>
      </c>
      <c r="G10" s="348">
        <f>IF(ISNUMBER((Datos!L10-Datos!V10)/Datos!V10),(Datos!L10-Datos!V10)/Datos!V10," - ")</f>
        <v>0.13636363636363635</v>
      </c>
      <c r="H10" s="229">
        <f>IF(ISNUMBER((Datos!M10-Datos!W10)/Datos!W10),(Datos!M10-Datos!W10)/Datos!W10," - ")</f>
        <v>0.27027027027027029</v>
      </c>
      <c r="I10" s="349">
        <f>IF(ISNUMBER((Tasas!C10-Datos!BE10)/Datos!BE10),(Tasas!C10-Datos!BE10)/Datos!BE10," - ")</f>
        <v>0.1972402597402598</v>
      </c>
      <c r="J10" s="348">
        <f>IF(ISNUMBER((Tasas!D10-Datos!BF10)/Datos!BF10),(Tasas!D10-Datos!BF10)/Datos!BF10," - ")</f>
        <v>0.33832046332046334</v>
      </c>
      <c r="K10" s="350">
        <f>IF(ISNUMBER((Tasas!E10-Datos!BG10)/Datos!BG10),(Tasas!E10-Datos!BG10)/Datos!BG10," - ")</f>
        <v>0.13620448179271699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4.4941332742970998E-2</v>
      </c>
      <c r="I13" s="356">
        <f>IF(ISNUMBER((Tasas!C13-Datos!BE13)/Datos!BE13),(Tasas!C13-Datos!BE13)/Datos!BE13," - ")</f>
        <v>-0.27802079519237388</v>
      </c>
      <c r="J13" s="354">
        <f>IF(ISNUMBER((Tasas!D13-Datos!BF13)/Datos!BF13),(Tasas!D13-Datos!BF13)/Datos!BF13," - ")</f>
        <v>0.25984030518870815</v>
      </c>
      <c r="K13" s="357">
        <f>IF(ISNUMBER((Tasas!E13-Datos!BG13)/Datos!BG13),(Tasas!E13-Datos!BG13)/Datos!BG13," - ")</f>
        <v>-0.19093136224741217</v>
      </c>
      <c r="M13" t="e">
        <f>IF(Monitorios="SI",Datos!CE13,0)</f>
        <v>#REF!</v>
      </c>
      <c r="N13" t="e">
        <f>IF(Monitorios="SI",Datos!CF13,0)</f>
        <v>#REF!</v>
      </c>
      <c r="O13" t="e">
        <f>IF(Monitorios="SI",Datos!CG13,0)</f>
        <v>#REF!</v>
      </c>
      <c r="P13" t="e">
        <f>IF(Monitorios="SI",Datos!CH13,0)</f>
        <v>#REF!</v>
      </c>
      <c r="Q13">
        <f>IF(J_V="SI",0,Datos!AG13)</f>
        <v>329</v>
      </c>
      <c r="R13">
        <f>IF(J_V="SI",0,Datos!AH13)</f>
        <v>522</v>
      </c>
      <c r="S13">
        <f>IF(J_V="SI",0,Datos!AI13)</f>
        <v>553</v>
      </c>
      <c r="T13">
        <f>IF(J_V="SI",0,Datos!AJ13)</f>
        <v>298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-6.3868613138686131E-3</v>
      </c>
      <c r="E15" s="347">
        <f>IF(ISNUMBER(
   IF(D_I="SI",(Datos!J15-Datos!T15)/Datos!T15,(Datos!J15+Datos!AD15-(Datos!T15+Datos!AL15))/(Datos!T15+Datos!AL15))
     ),IF(D_I="SI",(Datos!J15-Datos!T15)/Datos!T15,(Datos!J15+Datos!AD15-(Datos!T15+Datos!AL15))/(Datos!T15+Datos!AL15))," - ")</f>
        <v>1.7166693406064495E-2</v>
      </c>
      <c r="F15" s="347">
        <f>IF(ISNUMBER(
   IF(D_I="SI",(Datos!K15-Datos!U15)/Datos!U15,(Datos!K15+Datos!AE15-(Datos!U15+Datos!AM15))/(Datos!U15+Datos!AM15))
     ),IF(D_I="SI",(Datos!K15-Datos!U15)/Datos!U15,(Datos!K15+Datos!AE15-(Datos!U15+Datos!AM15))/(Datos!U15+Datos!AM15))," - ")</f>
        <v>7.6689567023486178E-3</v>
      </c>
      <c r="G15" s="348">
        <f>IF(ISNUMBER(
   IF(D_I="SI",(Datos!L15-Datos!V15)/Datos!V15,(Datos!L15+Datos!AF15-(Datos!V15+Datos!AN15))/(Datos!V15+Datos!AN15))
     ),IF(D_I="SI",(Datos!L15-Datos!V15)/Datos!V15,(Datos!L15+Datos!AF15-(Datos!V15+Datos!AN15))/(Datos!V15+Datos!AN15))," - ")</f>
        <v>4.7750229568411386E-2</v>
      </c>
      <c r="H15" s="229">
        <f>IF(ISNUMBER((Datos!M15-Datos!W15)/Datos!W15),(Datos!M15-Datos!W15)/Datos!W15," - ")</f>
        <v>-9.3901258470474341E-2</v>
      </c>
      <c r="I15" s="349">
        <f>IF(ISNUMBER((Tasas!C15-Datos!BE15)/Datos!BE15),(Tasas!C15-Datos!BE15)/Datos!BE15," - ")</f>
        <v>3.9776230675231866E-2</v>
      </c>
      <c r="J15" s="348">
        <f>IF(ISNUMBER((Tasas!D15-Datos!BF15)/Datos!BF15),(Tasas!D15-Datos!BF15)/Datos!BF15," - ")</f>
        <v>-0.10079720576608513</v>
      </c>
      <c r="K15" s="350">
        <f>IF(ISNUMBER((Tasas!E15-Datos!BG15)/Datos!BG15),(Tasas!E15-Datos!BG15)/Datos!BG15," - ")</f>
        <v>5.9299926923247342E-3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3.1674208144796379E-2</v>
      </c>
      <c r="E17" s="347">
        <f>IF(ISNUMBER(
   IF(D_I="SI",(Datos!J17-Datos!T17)/Datos!T17,(Datos!J17+Datos!AD17-(Datos!T17+Datos!AL17))/(Datos!T17+Datos!AL17))
     ),IF(D_I="SI",(Datos!J17-Datos!T17)/Datos!T17,(Datos!J17+Datos!AD17-(Datos!T17+Datos!AL17))/(Datos!T17+Datos!AL17))," - ")</f>
        <v>0.31445031204992802</v>
      </c>
      <c r="F17" s="347">
        <f>IF(ISNUMBER(
   IF(D_I="SI",(Datos!K17-Datos!U17)/Datos!U17,(Datos!K17+Datos!AE17-(Datos!U17+Datos!AM17))/(Datos!U17+Datos!AM17))
     ),IF(D_I="SI",(Datos!K17-Datos!U17)/Datos!U17,(Datos!K17+Datos!AE17-(Datos!U17+Datos!AM17))/(Datos!U17+Datos!AM17))," - ")</f>
        <v>0.34627016129032256</v>
      </c>
      <c r="G17" s="348">
        <f>IF(ISNUMBER(
   IF(D_I="SI",(Datos!L17-Datos!V17)/Datos!V17,(Datos!L17+Datos!AF17-(Datos!V17+Datos!AN17))/(Datos!V17+Datos!AN17))
     ),IF(D_I="SI",(Datos!L17-Datos!V17)/Datos!V17,(Datos!L17+Datos!AF17-(Datos!V17+Datos!AN17))/(Datos!V17+Datos!AN17))," - ")</f>
        <v>0.30701754385964913</v>
      </c>
      <c r="H17" s="229">
        <f>IF(ISNUMBER((Datos!M17-Datos!W17)/Datos!W17),(Datos!M17-Datos!W17)/Datos!W17," - ")</f>
        <v>0.72789115646258506</v>
      </c>
      <c r="I17" s="349">
        <f>IF(ISNUMBER((Tasas!C17-Datos!BE17)/Datos!BE17),(Tasas!C17-Datos!BE17)/Datos!BE17," - ")</f>
        <v>-2.9156567945509557E-2</v>
      </c>
      <c r="J17" s="348">
        <f>IF(ISNUMBER((Tasas!D17-Datos!BF17)/Datos!BF17),(Tasas!D17-Datos!BF17)/Datos!BF17," - ")</f>
        <v>0.28346538915079317</v>
      </c>
      <c r="K17" s="350">
        <f>IF(ISNUMBER((Tasas!E17-Datos!BG17)/Datos!BG17),(Tasas!E17-Datos!BG17)/Datos!BG17," - ")</f>
        <v>-4.3783019260368705E-2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v>
      </c>
      <c r="E18" s="353">
        <f>IF(ISNUMBER(
   IF(D_I="SI",(Datos!J18-Datos!T18)/Datos!T18,(Datos!J18+Datos!AD18-(Datos!T18+Datos!AL18))/(Datos!T18+Datos!AL18))
     ),IF(D_I="SI",(Datos!J18-Datos!T18)/Datos!T18,(Datos!J18+Datos!AD18-(Datos!T18+Datos!AL18))/(Datos!T18+Datos!AL18))," - ")</f>
        <v>9.1630591630591632E-2</v>
      </c>
      <c r="F18" s="353">
        <f>IF(ISNUMBER(
   IF(D_I="SI",(Datos!K18-Datos!U18)/Datos!U18,(Datos!K18+Datos!AE18-(Datos!U18+Datos!AM18))/(Datos!U18+Datos!AM18))
     ),IF(D_I="SI",(Datos!K18-Datos!U18)/Datos!U18,(Datos!K18+Datos!AE18-(Datos!U18+Datos!AM18))/(Datos!U18+Datos!AM18))," - ")</f>
        <v>8.9166565570787337E-2</v>
      </c>
      <c r="G18" s="354">
        <f>IF(ISNUMBER(
   IF(D_I="SI",(Datos!L18-Datos!V18)/Datos!V18,(Datos!L18+Datos!AF18-(Datos!V18+Datos!AN18))/(Datos!V18+Datos!AN18))
     ),IF(D_I="SI",(Datos!L18-Datos!V18)/Datos!V18,(Datos!L18+Datos!AF18-(Datos!V18+Datos!AN18))/(Datos!V18+Datos!AN18))," - ")</f>
        <v>9.2634776006074407E-2</v>
      </c>
      <c r="H18" s="355">
        <f>IF(ISNUMBER((Datos!M18-Datos!W18)/Datos!W18),(Datos!M18-Datos!W18)/Datos!W18," - ")</f>
        <v>8.4745762711864406E-3</v>
      </c>
      <c r="I18" s="356">
        <f>IF(ISNUMBER((Tasas!C18-Datos!BE18)/Datos!BE18),(Tasas!C18-Datos!BE18)/Datos!BE18," - ")</f>
        <v>3.1842791955971231E-3</v>
      </c>
      <c r="J18" s="354">
        <f>IF(ISNUMBER((Tasas!D18-Datos!BF18)/Datos!BF18),(Tasas!D18-Datos!BF18)/Datos!BF18," - ")</f>
        <v>-7.408599552201052E-2</v>
      </c>
      <c r="K18" s="357">
        <f>IF(ISNUMBER((Tasas!E18-Datos!BG18)/Datos!BG18),(Tasas!E18-Datos!BG18)/Datos!BG18," - ")</f>
        <v>-9.2396174627774157E-3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-0.29587255611875451</v>
      </c>
      <c r="E19" s="362">
        <f>IF(ISNUMBER(
   IF(J_V="SI",(Datos!J19-Datos!T19)/Datos!T19,(Datos!J19+Datos!Z19-(Datos!T19+Datos!AH19))/(Datos!T19+Datos!AH19))
     ),IF(J_V="SI",(Datos!J19-Datos!T19)/Datos!T19,(Datos!J19+Datos!Z19-(Datos!T19+Datos!AH19))/(Datos!T19+Datos!AH19))," - ")</f>
        <v>-2.6948932657152966E-2</v>
      </c>
      <c r="F19" s="362">
        <f>IF(ISNUMBER(
   IF(J_V="SI",(Datos!K19-Datos!U19)/Datos!U19,(Datos!K19+Datos!AA19-(Datos!U19+Datos!AI19))/(Datos!U19+Datos!AI19))
     ),IF(J_V="SI",(Datos!K19-Datos!U19)/Datos!U19,(Datos!K19+Datos!AA19-(Datos!U19+Datos!AI19))/(Datos!U19+Datos!AI19))," - ")</f>
        <v>-8.1898876955519596E-3</v>
      </c>
      <c r="G19" s="363">
        <f>IF(ISNUMBER(
   IF(J_V="SI",(Datos!L19-Datos!V19)/Datos!V19,(Datos!L19+Datos!AB19-(Datos!V19+Datos!AJ19))/(Datos!V19+Datos!AJ19))
     ),IF(J_V="SI",(Datos!L19-Datos!V19)/Datos!V19,(Datos!L19+Datos!AB19-(Datos!V19+Datos!AJ19))/(Datos!V19+Datos!AJ19))," - ")</f>
        <v>-0.2741670094611271</v>
      </c>
      <c r="H19" s="364">
        <f>IF(ISNUMBER((Datos!M19-Datos!W19)/Datos!W19),(Datos!M19-Datos!W19)/Datos!W19," - ")</f>
        <v>3.7388098999473408E-2</v>
      </c>
      <c r="I19" s="361">
        <f>IF(ISNUMBER((Tasas!C19-Datos!BE19)/Datos!BE19),(Tasas!C19-Datos!BE19)/Datos!BE19," - ")</f>
        <v>-0.26817343205705307</v>
      </c>
      <c r="J19" s="362">
        <f>IF(ISNUMBER((Tasas!D19-Datos!BF19)/Datos!BF19),(Tasas!D19-Datos!BF19)/Datos!BF19," - ")</f>
        <v>0.14000419332555156</v>
      </c>
      <c r="K19" s="363">
        <f>IF(ISNUMBER((Tasas!E19-Datos!BG19)/Datos!BG19),(Tasas!E19-Datos!BG19)/Datos!BG19," - ")</f>
        <v>-0.14061514065091874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0.20613576425718447</v>
      </c>
      <c r="E21" s="277">
        <f t="shared" si="1"/>
        <v>0.16472989187062068</v>
      </c>
      <c r="F21" s="277">
        <f t="shared" si="1"/>
        <v>0.17514884042444059</v>
      </c>
      <c r="G21" s="278">
        <f t="shared" si="1"/>
        <v>0.11331425298587065</v>
      </c>
      <c r="H21" s="284">
        <f t="shared" si="1"/>
        <v>0.29957221271518258</v>
      </c>
      <c r="I21" s="276">
        <f t="shared" si="1"/>
        <v>0.18889278633513126</v>
      </c>
      <c r="J21" s="277">
        <f t="shared" si="1"/>
        <v>0.19475097733061741</v>
      </c>
      <c r="K21" s="278">
        <f t="shared" si="1"/>
        <v>0.12661195982476917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tPIO1g7qmkuWpkn5Lg3G9SIJMPRHkvkKCf74AYxH4kJ1sGZY+ZlnRZ+o18t5f8AGscWtqLp41Dl1/9eMgUVHw==" saltValue="FuKajAMr2sCw0XZO7JkHQ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